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975" yWindow="180" windowWidth="11355" windowHeight="8700" tabRatio="689"/>
  </bookViews>
  <sheets>
    <sheet name="цены" sheetId="20" r:id="rId1"/>
  </sheets>
  <calcPr calcId="145621"/>
</workbook>
</file>

<file path=xl/calcChain.xml><?xml version="1.0" encoding="utf-8"?>
<calcChain xmlns="http://schemas.openxmlformats.org/spreadsheetml/2006/main">
  <c r="L154" i="20" l="1"/>
  <c r="K154" i="20"/>
  <c r="J154" i="20"/>
  <c r="I154" i="20"/>
  <c r="H154" i="20"/>
  <c r="G154" i="20"/>
  <c r="F154" i="20"/>
  <c r="E154" i="20"/>
  <c r="L153" i="20"/>
  <c r="K153" i="20"/>
  <c r="J153" i="20"/>
  <c r="I153" i="20"/>
  <c r="H153" i="20"/>
  <c r="G153" i="20"/>
  <c r="F153" i="20"/>
  <c r="E153" i="20"/>
  <c r="L152" i="20"/>
  <c r="K152" i="20"/>
  <c r="J152" i="20"/>
  <c r="I152" i="20"/>
  <c r="H152" i="20"/>
  <c r="G152" i="20"/>
  <c r="F152" i="20"/>
  <c r="E152" i="20"/>
  <c r="L151" i="20"/>
  <c r="K151" i="20"/>
  <c r="J151" i="20"/>
  <c r="I151" i="20"/>
  <c r="H151" i="20"/>
  <c r="G151" i="20"/>
  <c r="F151" i="20"/>
  <c r="E151" i="20"/>
  <c r="L150" i="20"/>
  <c r="K150" i="20"/>
  <c r="J150" i="20"/>
  <c r="I150" i="20"/>
  <c r="H150" i="20"/>
  <c r="G150" i="20"/>
  <c r="F150" i="20"/>
  <c r="E150" i="20"/>
  <c r="L149" i="20"/>
  <c r="K149" i="20"/>
  <c r="J149" i="20"/>
  <c r="I149" i="20"/>
  <c r="H149" i="20"/>
  <c r="G149" i="20"/>
  <c r="F149" i="20"/>
  <c r="E149" i="20"/>
  <c r="L148" i="20"/>
  <c r="K148" i="20"/>
  <c r="J148" i="20"/>
  <c r="I148" i="20"/>
  <c r="H148" i="20"/>
  <c r="G148" i="20"/>
  <c r="F148" i="20"/>
  <c r="E148" i="20"/>
  <c r="L147" i="20"/>
  <c r="K147" i="20"/>
  <c r="J147" i="20"/>
  <c r="I147" i="20"/>
  <c r="H147" i="20"/>
  <c r="G147" i="20"/>
  <c r="F147" i="20"/>
  <c r="E147" i="20"/>
  <c r="L145" i="20"/>
  <c r="K145" i="20"/>
  <c r="J145" i="20"/>
  <c r="I145" i="20"/>
  <c r="H145" i="20"/>
  <c r="G145" i="20"/>
  <c r="F145" i="20"/>
  <c r="E145" i="20"/>
  <c r="L144" i="20"/>
  <c r="K144" i="20"/>
  <c r="J144" i="20"/>
  <c r="I144" i="20"/>
  <c r="H144" i="20"/>
  <c r="G144" i="20"/>
  <c r="F144" i="20"/>
  <c r="E144" i="20"/>
  <c r="L143" i="20"/>
  <c r="K143" i="20"/>
  <c r="J143" i="20"/>
  <c r="I143" i="20"/>
  <c r="H143" i="20"/>
  <c r="G143" i="20"/>
  <c r="F143" i="20"/>
  <c r="E143" i="20"/>
  <c r="L141" i="20"/>
  <c r="K141" i="20"/>
  <c r="J141" i="20"/>
  <c r="I141" i="20"/>
  <c r="H141" i="20"/>
  <c r="G141" i="20"/>
  <c r="F141" i="20"/>
  <c r="E141" i="20"/>
  <c r="L140" i="20"/>
  <c r="K140" i="20"/>
  <c r="J140" i="20"/>
  <c r="I140" i="20"/>
  <c r="H140" i="20"/>
  <c r="G140" i="20"/>
  <c r="F140" i="20"/>
  <c r="E140" i="20"/>
  <c r="L139" i="20"/>
  <c r="K139" i="20"/>
  <c r="J139" i="20"/>
  <c r="I139" i="20"/>
  <c r="H139" i="20"/>
  <c r="G139" i="20"/>
  <c r="F139" i="20"/>
  <c r="E139" i="20"/>
  <c r="L138" i="20"/>
  <c r="K138" i="20"/>
  <c r="J138" i="20"/>
  <c r="I138" i="20"/>
  <c r="H138" i="20"/>
  <c r="G138" i="20"/>
  <c r="F138" i="20"/>
  <c r="E138" i="20"/>
  <c r="L136" i="20"/>
  <c r="K136" i="20"/>
  <c r="J136" i="20"/>
  <c r="I136" i="20"/>
  <c r="H136" i="20"/>
  <c r="G136" i="20"/>
  <c r="F136" i="20"/>
  <c r="E136" i="20"/>
  <c r="L135" i="20"/>
  <c r="K135" i="20"/>
  <c r="J135" i="20"/>
  <c r="I135" i="20"/>
  <c r="H135" i="20"/>
  <c r="G135" i="20"/>
  <c r="F135" i="20"/>
  <c r="E135" i="20"/>
  <c r="L134" i="20"/>
  <c r="K134" i="20"/>
  <c r="J134" i="20"/>
  <c r="I134" i="20"/>
  <c r="H134" i="20"/>
  <c r="G134" i="20"/>
  <c r="F134" i="20"/>
  <c r="E134" i="20"/>
  <c r="L133" i="20"/>
  <c r="K133" i="20"/>
  <c r="J133" i="20"/>
  <c r="I133" i="20"/>
  <c r="H133" i="20"/>
  <c r="G133" i="20"/>
  <c r="F133" i="20"/>
  <c r="E133" i="20"/>
  <c r="L130" i="20"/>
  <c r="K130" i="20"/>
  <c r="J130" i="20"/>
  <c r="I130" i="20"/>
  <c r="H130" i="20"/>
  <c r="G130" i="20"/>
  <c r="F130" i="20"/>
  <c r="E130" i="20"/>
  <c r="L129" i="20"/>
  <c r="K129" i="20"/>
  <c r="J129" i="20"/>
  <c r="I129" i="20"/>
  <c r="H129" i="20"/>
  <c r="G129" i="20"/>
  <c r="F129" i="20"/>
  <c r="E129" i="20"/>
  <c r="L128" i="20"/>
  <c r="K128" i="20"/>
  <c r="J128" i="20"/>
  <c r="I128" i="20"/>
  <c r="H128" i="20"/>
  <c r="G128" i="20"/>
  <c r="F128" i="20"/>
  <c r="E128" i="20"/>
  <c r="L127" i="20"/>
  <c r="K127" i="20"/>
  <c r="J127" i="20"/>
  <c r="I127" i="20"/>
  <c r="H127" i="20"/>
  <c r="G127" i="20"/>
  <c r="F127" i="20"/>
  <c r="E127" i="20"/>
  <c r="L126" i="20"/>
  <c r="K126" i="20"/>
  <c r="J126" i="20"/>
  <c r="I126" i="20"/>
  <c r="H126" i="20"/>
  <c r="G126" i="20"/>
  <c r="F126" i="20"/>
  <c r="E126" i="20"/>
  <c r="L125" i="20"/>
  <c r="K125" i="20"/>
  <c r="J125" i="20"/>
  <c r="I125" i="20"/>
  <c r="H125" i="20"/>
  <c r="G125" i="20"/>
  <c r="F125" i="20"/>
  <c r="E125" i="20"/>
  <c r="L124" i="20"/>
  <c r="K124" i="20"/>
  <c r="J124" i="20"/>
  <c r="I124" i="20"/>
  <c r="H124" i="20"/>
  <c r="G124" i="20"/>
  <c r="F124" i="20"/>
  <c r="E124" i="20"/>
  <c r="L123" i="20"/>
  <c r="K123" i="20"/>
  <c r="J123" i="20"/>
  <c r="I123" i="20"/>
  <c r="H123" i="20"/>
  <c r="G123" i="20"/>
  <c r="F123" i="20"/>
  <c r="E123" i="20"/>
  <c r="L122" i="20"/>
  <c r="K122" i="20"/>
  <c r="J122" i="20"/>
  <c r="I122" i="20"/>
  <c r="H122" i="20"/>
  <c r="G122" i="20"/>
  <c r="F122" i="20"/>
  <c r="E122" i="20"/>
  <c r="L121" i="20"/>
  <c r="K121" i="20"/>
  <c r="J121" i="20"/>
  <c r="I121" i="20"/>
  <c r="H121" i="20"/>
  <c r="G121" i="20"/>
  <c r="F121" i="20"/>
  <c r="E121" i="20"/>
  <c r="L120" i="20"/>
  <c r="K120" i="20"/>
  <c r="J120" i="20"/>
  <c r="I120" i="20"/>
  <c r="H120" i="20"/>
  <c r="G120" i="20"/>
  <c r="F120" i="20"/>
  <c r="E120" i="20"/>
  <c r="L119" i="20"/>
  <c r="K119" i="20"/>
  <c r="J119" i="20"/>
  <c r="I119" i="20"/>
  <c r="H119" i="20"/>
  <c r="G119" i="20"/>
  <c r="F119" i="20"/>
  <c r="E119" i="20"/>
  <c r="L118" i="20"/>
  <c r="K118" i="20"/>
  <c r="J118" i="20"/>
  <c r="I118" i="20"/>
  <c r="H118" i="20"/>
  <c r="G118" i="20"/>
  <c r="F118" i="20"/>
  <c r="E118" i="20"/>
  <c r="L117" i="20"/>
  <c r="K117" i="20"/>
  <c r="J117" i="20"/>
  <c r="I117" i="20"/>
  <c r="H117" i="20"/>
  <c r="G117" i="20"/>
  <c r="F117" i="20"/>
  <c r="E117" i="20"/>
  <c r="L116" i="20"/>
  <c r="K116" i="20"/>
  <c r="J116" i="20"/>
  <c r="I116" i="20"/>
  <c r="H116" i="20"/>
  <c r="G116" i="20"/>
  <c r="F116" i="20"/>
  <c r="E116" i="20"/>
  <c r="L115" i="20"/>
  <c r="K115" i="20"/>
  <c r="J115" i="20"/>
  <c r="I115" i="20"/>
  <c r="H115" i="20"/>
  <c r="G115" i="20"/>
  <c r="F115" i="20"/>
  <c r="E115" i="20"/>
  <c r="L114" i="20"/>
  <c r="K114" i="20"/>
  <c r="J114" i="20"/>
  <c r="I114" i="20"/>
  <c r="H114" i="20"/>
  <c r="G114" i="20"/>
  <c r="F114" i="20"/>
  <c r="E114" i="20"/>
  <c r="L113" i="20"/>
  <c r="K113" i="20"/>
  <c r="J113" i="20"/>
  <c r="I113" i="20"/>
  <c r="H113" i="20"/>
  <c r="G113" i="20"/>
  <c r="F113" i="20"/>
  <c r="E113" i="20"/>
  <c r="L112" i="20"/>
  <c r="K112" i="20"/>
  <c r="J112" i="20"/>
  <c r="I112" i="20"/>
  <c r="H112" i="20"/>
  <c r="G112" i="20"/>
  <c r="F112" i="20"/>
  <c r="E112" i="20"/>
  <c r="L111" i="20"/>
  <c r="K111" i="20"/>
  <c r="J111" i="20"/>
  <c r="I111" i="20"/>
  <c r="H111" i="20"/>
  <c r="G111" i="20"/>
  <c r="F111" i="20"/>
  <c r="E111" i="20"/>
  <c r="L110" i="20"/>
  <c r="K110" i="20"/>
  <c r="J110" i="20"/>
  <c r="I110" i="20"/>
  <c r="H110" i="20"/>
  <c r="G110" i="20"/>
  <c r="F110" i="20"/>
  <c r="E110" i="20"/>
  <c r="L109" i="20"/>
  <c r="K109" i="20"/>
  <c r="J109" i="20"/>
  <c r="I109" i="20"/>
  <c r="H109" i="20"/>
  <c r="G109" i="20"/>
  <c r="F109" i="20"/>
  <c r="E109" i="20"/>
  <c r="L108" i="20"/>
  <c r="K108" i="20"/>
  <c r="J108" i="20"/>
  <c r="I108" i="20"/>
  <c r="H108" i="20"/>
  <c r="G108" i="20"/>
  <c r="F108" i="20"/>
  <c r="E108" i="20"/>
  <c r="L107" i="20"/>
  <c r="K107" i="20"/>
  <c r="J107" i="20"/>
  <c r="I107" i="20"/>
  <c r="H107" i="20"/>
  <c r="G107" i="20"/>
  <c r="F107" i="20"/>
  <c r="E107" i="20"/>
  <c r="L106" i="20"/>
  <c r="K106" i="20"/>
  <c r="J106" i="20"/>
  <c r="I106" i="20"/>
  <c r="H106" i="20"/>
  <c r="G106" i="20"/>
  <c r="F106" i="20"/>
  <c r="E106" i="20"/>
  <c r="L105" i="20"/>
  <c r="K105" i="20"/>
  <c r="J105" i="20"/>
  <c r="I105" i="20"/>
  <c r="H105" i="20"/>
  <c r="G105" i="20"/>
  <c r="F105" i="20"/>
  <c r="E105" i="20"/>
  <c r="L104" i="20"/>
  <c r="K104" i="20"/>
  <c r="J104" i="20"/>
  <c r="I104" i="20"/>
  <c r="H104" i="20"/>
  <c r="G104" i="20"/>
  <c r="F104" i="20"/>
  <c r="E104" i="20"/>
  <c r="L103" i="20"/>
  <c r="K103" i="20"/>
  <c r="J103" i="20"/>
  <c r="I103" i="20"/>
  <c r="H103" i="20"/>
  <c r="G103" i="20"/>
  <c r="F103" i="20"/>
  <c r="E103" i="20"/>
  <c r="L102" i="20"/>
  <c r="K102" i="20"/>
  <c r="J102" i="20"/>
  <c r="I102" i="20"/>
  <c r="H102" i="20"/>
  <c r="G102" i="20"/>
  <c r="F102" i="20"/>
  <c r="E102" i="20"/>
  <c r="L101" i="20"/>
  <c r="K101" i="20"/>
  <c r="J101" i="20"/>
  <c r="I101" i="20"/>
  <c r="H101" i="20"/>
  <c r="G101" i="20"/>
  <c r="F101" i="20"/>
  <c r="E101" i="20"/>
  <c r="L100" i="20"/>
  <c r="K100" i="20"/>
  <c r="J100" i="20"/>
  <c r="I100" i="20"/>
  <c r="H100" i="20"/>
  <c r="G100" i="20"/>
  <c r="F100" i="20"/>
  <c r="E100" i="20"/>
  <c r="L98" i="20"/>
  <c r="K98" i="20"/>
  <c r="J98" i="20"/>
  <c r="I98" i="20"/>
  <c r="H98" i="20"/>
  <c r="G98" i="20"/>
  <c r="F98" i="20"/>
  <c r="E98" i="20"/>
  <c r="L97" i="20"/>
  <c r="K97" i="20"/>
  <c r="J97" i="20"/>
  <c r="I97" i="20"/>
  <c r="H97" i="20"/>
  <c r="G97" i="20"/>
  <c r="F97" i="20"/>
  <c r="E97" i="20"/>
  <c r="L96" i="20"/>
  <c r="K96" i="20"/>
  <c r="J96" i="20"/>
  <c r="I96" i="20"/>
  <c r="H96" i="20"/>
  <c r="G96" i="20"/>
  <c r="F96" i="20"/>
  <c r="E96" i="20"/>
  <c r="L95" i="20"/>
  <c r="K95" i="20"/>
  <c r="J95" i="20"/>
  <c r="I95" i="20"/>
  <c r="H95" i="20"/>
  <c r="G95" i="20"/>
  <c r="F95" i="20"/>
  <c r="E95" i="20"/>
  <c r="L94" i="20"/>
  <c r="K94" i="20"/>
  <c r="J94" i="20"/>
  <c r="I94" i="20"/>
  <c r="H94" i="20"/>
  <c r="G94" i="20"/>
  <c r="F94" i="20"/>
  <c r="E94" i="20"/>
  <c r="L93" i="20"/>
  <c r="K93" i="20"/>
  <c r="J93" i="20"/>
  <c r="I93" i="20"/>
  <c r="H93" i="20"/>
  <c r="G93" i="20"/>
  <c r="F93" i="20"/>
  <c r="E93" i="20"/>
  <c r="L92" i="20"/>
  <c r="K92" i="20"/>
  <c r="J92" i="20"/>
  <c r="I92" i="20"/>
  <c r="H92" i="20"/>
  <c r="G92" i="20"/>
  <c r="F92" i="20"/>
  <c r="E92" i="20"/>
  <c r="L91" i="20"/>
  <c r="K91" i="20"/>
  <c r="J91" i="20"/>
  <c r="I91" i="20"/>
  <c r="H91" i="20"/>
  <c r="G91" i="20"/>
  <c r="F91" i="20"/>
  <c r="E91" i="20"/>
</calcChain>
</file>

<file path=xl/sharedStrings.xml><?xml version="1.0" encoding="utf-8"?>
<sst xmlns="http://schemas.openxmlformats.org/spreadsheetml/2006/main" count="379" uniqueCount="204">
  <si>
    <t>Наименование изделия</t>
  </si>
  <si>
    <t>Общие габариты</t>
  </si>
  <si>
    <t>1400х1980</t>
  </si>
  <si>
    <t>1560х1980</t>
  </si>
  <si>
    <t>1800х1980</t>
  </si>
  <si>
    <t>1500х2030</t>
  </si>
  <si>
    <t>1660х2030</t>
  </si>
  <si>
    <t>Диван «Малыш»</t>
  </si>
  <si>
    <t>Диван «Каскад»</t>
  </si>
  <si>
    <t>Прайс-лист</t>
  </si>
  <si>
    <t>Диван "Ева"</t>
  </si>
  <si>
    <t>г. Днепропетровск</t>
  </si>
  <si>
    <t>1200х1980</t>
  </si>
  <si>
    <t>1900х2030</t>
  </si>
  <si>
    <t>Угол "Салют"</t>
  </si>
  <si>
    <t>2700х1850</t>
  </si>
  <si>
    <t>Кресло "Салют"</t>
  </si>
  <si>
    <t>Угол "Аллигатор"</t>
  </si>
  <si>
    <t>Угол "Мишель"</t>
  </si>
  <si>
    <t>Диван "Лира"</t>
  </si>
  <si>
    <t>Угол "Честер"</t>
  </si>
  <si>
    <t>1000х2000</t>
  </si>
  <si>
    <t>2600х1850</t>
  </si>
  <si>
    <t>1600х2130</t>
  </si>
  <si>
    <t>770х1950</t>
  </si>
  <si>
    <t>Диван "Венеция"</t>
  </si>
  <si>
    <t>Кресло "Марсель"</t>
  </si>
  <si>
    <t>1000х1920</t>
  </si>
  <si>
    <t>Диван "Венеция" (хром. дуга)</t>
  </si>
  <si>
    <t>Диван "Ева"(хром дуга)</t>
  </si>
  <si>
    <t>место</t>
  </si>
  <si>
    <t>Спальное</t>
  </si>
  <si>
    <t>ширина</t>
  </si>
  <si>
    <t>800х1050</t>
  </si>
  <si>
    <t>Диван "Денди"</t>
  </si>
  <si>
    <t>1300х750</t>
  </si>
  <si>
    <t>Угол "Монако"</t>
  </si>
  <si>
    <t>Кресло "Престиж"</t>
  </si>
  <si>
    <t>Диван  "Мишель"</t>
  </si>
  <si>
    <t>Диван "Салют"</t>
  </si>
  <si>
    <t>1500х1900</t>
  </si>
  <si>
    <t>1250х2000</t>
  </si>
  <si>
    <t>840х1820</t>
  </si>
  <si>
    <t>700х1900</t>
  </si>
  <si>
    <t>1200х1900</t>
  </si>
  <si>
    <t>1400х1900</t>
  </si>
  <si>
    <t>1600х1900</t>
  </si>
  <si>
    <t>600х1930</t>
  </si>
  <si>
    <t>700х1930</t>
  </si>
  <si>
    <t>800х1930</t>
  </si>
  <si>
    <t>900х1930</t>
  </si>
  <si>
    <t>1000х1930</t>
  </si>
  <si>
    <t>1100х1930</t>
  </si>
  <si>
    <t>1200х1930</t>
  </si>
  <si>
    <t>1300х1930</t>
  </si>
  <si>
    <t>1400х1930</t>
  </si>
  <si>
    <t>1500х1930</t>
  </si>
  <si>
    <t>1600х1930</t>
  </si>
  <si>
    <t>1700х1930</t>
  </si>
  <si>
    <t>1500х2000</t>
  </si>
  <si>
    <t>1550х1980</t>
  </si>
  <si>
    <t>1220х2060</t>
  </si>
  <si>
    <t>1250х2180</t>
  </si>
  <si>
    <t>1550х2130</t>
  </si>
  <si>
    <t>1570х2050</t>
  </si>
  <si>
    <t>1500х1950</t>
  </si>
  <si>
    <t>1550х2180</t>
  </si>
  <si>
    <t>1500х2180</t>
  </si>
  <si>
    <t>1420х2220</t>
  </si>
  <si>
    <t>1550х2020</t>
  </si>
  <si>
    <t>1800х2000</t>
  </si>
  <si>
    <t>1470х2000</t>
  </si>
  <si>
    <t>1570х1980</t>
  </si>
  <si>
    <t>2500х1070х1000</t>
  </si>
  <si>
    <t>2170х870х920</t>
  </si>
  <si>
    <t>2100х850х850</t>
  </si>
  <si>
    <t>2380х900х960</t>
  </si>
  <si>
    <t>800х1000х700</t>
  </si>
  <si>
    <t>1000х1080х980</t>
  </si>
  <si>
    <t>1100х1080х980</t>
  </si>
  <si>
    <t>1200х1080х980</t>
  </si>
  <si>
    <t>1300х1080х980</t>
  </si>
  <si>
    <t>1400х1080х980</t>
  </si>
  <si>
    <t>1500х1080х980</t>
  </si>
  <si>
    <t>1600х1080х980</t>
  </si>
  <si>
    <t>1700х1080х980</t>
  </si>
  <si>
    <t>1800х1080х980</t>
  </si>
  <si>
    <t>1900х1080х980</t>
  </si>
  <si>
    <t>2000х1080х980</t>
  </si>
  <si>
    <t>2100х1080х980</t>
  </si>
  <si>
    <t>шир/ глуб/ выс.</t>
  </si>
  <si>
    <t>2400х1080х960</t>
  </si>
  <si>
    <t>1980х1000х790</t>
  </si>
  <si>
    <t>960х1000х1050</t>
  </si>
  <si>
    <t>2340х900х950</t>
  </si>
  <si>
    <t>1270х1950</t>
  </si>
  <si>
    <t>1460х2000</t>
  </si>
  <si>
    <t>950х900х950</t>
  </si>
  <si>
    <t>2300х1000х1020</t>
  </si>
  <si>
    <t>2050х1040х800</t>
  </si>
  <si>
    <t>2430х1570х800</t>
  </si>
  <si>
    <t>2800х2040х830</t>
  </si>
  <si>
    <t>2500х1620х800</t>
  </si>
  <si>
    <t>2120х1050х800</t>
  </si>
  <si>
    <t>2260х1040х920</t>
  </si>
  <si>
    <t>2130х1070х820</t>
  </si>
  <si>
    <t>1530х1000х1000</t>
  </si>
  <si>
    <t>1730х1000х1000</t>
  </si>
  <si>
    <t>1930х1000х1000</t>
  </si>
  <si>
    <t>1200х1970</t>
  </si>
  <si>
    <t>1400х1970</t>
  </si>
  <si>
    <t>1600х1970</t>
  </si>
  <si>
    <t>1800х1970</t>
  </si>
  <si>
    <t>800х1950</t>
  </si>
  <si>
    <t>-</t>
  </si>
  <si>
    <t>2240х1000х1070</t>
  </si>
  <si>
    <t>1300х2030</t>
  </si>
  <si>
    <t>850х900х970</t>
  </si>
  <si>
    <t>2000х970х770</t>
  </si>
  <si>
    <t>цены  на</t>
  </si>
  <si>
    <t xml:space="preserve">    01 сентября  2010 г.</t>
  </si>
  <si>
    <t>Кровать  "Соня  1.2"</t>
  </si>
  <si>
    <t>Кровать  "Соня  1.4"</t>
  </si>
  <si>
    <t>Кровать  "Соня  1.6"</t>
  </si>
  <si>
    <t>Кровать  "Соня  1.8"</t>
  </si>
  <si>
    <t>Кровать "Изабель 1.2"</t>
  </si>
  <si>
    <t>Кровать "Изабель 1.4"</t>
  </si>
  <si>
    <t>Кровать "Изабель 1.6"</t>
  </si>
  <si>
    <t>Кровать "Изабель 1.8"</t>
  </si>
  <si>
    <t>Софа  "Светлана"</t>
  </si>
  <si>
    <t>Диван  "Диана"</t>
  </si>
  <si>
    <t>Диван  "Премьера"</t>
  </si>
  <si>
    <t>Диван "Атлант"   (б/с)</t>
  </si>
  <si>
    <t>Диван "Марсель" (с/с)</t>
  </si>
  <si>
    <t>Диван "Марсель"  (б/с)</t>
  </si>
  <si>
    <t>Диван  "Атлант"   (с/с )</t>
  </si>
  <si>
    <t>Диван "Геркулес" (с/с)</t>
  </si>
  <si>
    <t>Диван  "Геркулес" (б/с)</t>
  </si>
  <si>
    <t>Диван "Дуэт"</t>
  </si>
  <si>
    <t>Диван "Рафаэль"</t>
  </si>
  <si>
    <t xml:space="preserve">Диван "Ванкувер"  </t>
  </si>
  <si>
    <t>Диван "Фламинго"</t>
  </si>
  <si>
    <t>Диван "Мажор"   (книжка)</t>
  </si>
  <si>
    <t>Диван  "Престиж  1.2"</t>
  </si>
  <si>
    <t>Диван  "Престиж  1.4"</t>
  </si>
  <si>
    <t>Диван  "Престиж  1.6"</t>
  </si>
  <si>
    <t>Диван  "Комфорт"</t>
  </si>
  <si>
    <t>Угол  "Милан"</t>
  </si>
  <si>
    <t>Угол  "Палермо"</t>
  </si>
  <si>
    <t>Кресло  "Каскад"</t>
  </si>
  <si>
    <t>ФЛП  "Козинец С.М."</t>
  </si>
  <si>
    <r>
      <t>Угол  "Честер II"</t>
    </r>
    <r>
      <rPr>
        <b/>
        <sz val="8"/>
        <rFont val="Arial Cyr"/>
        <charset val="204"/>
      </rPr>
      <t>(с быльцами)</t>
    </r>
  </si>
  <si>
    <t>1570х2000</t>
  </si>
  <si>
    <t>1620х2020</t>
  </si>
  <si>
    <t>2500х1650х800</t>
  </si>
  <si>
    <t>Диван  "Альянс"</t>
  </si>
  <si>
    <t>1970х1550</t>
  </si>
  <si>
    <t>2430х1130х800</t>
  </si>
  <si>
    <t>Кровать "Корнелия 1.6"</t>
  </si>
  <si>
    <t>1580х1980</t>
  </si>
  <si>
    <t>2250х1750х1050</t>
  </si>
  <si>
    <t>это основа для формулы</t>
  </si>
  <si>
    <r>
      <t>Диван "Дуэт" классич.</t>
    </r>
    <r>
      <rPr>
        <b/>
        <sz val="8"/>
        <rFont val="Arial Cyr"/>
        <charset val="204"/>
      </rPr>
      <t>("Лагуна")</t>
    </r>
  </si>
  <si>
    <t>Диван  "Торонто"</t>
  </si>
  <si>
    <t>Диван "Дуэт"  1.10 ("Саванна")</t>
  </si>
  <si>
    <t>(без стоимости  доставки)</t>
  </si>
  <si>
    <t>Угол "Сидней"</t>
  </si>
  <si>
    <t>Диван "Лагуна"</t>
  </si>
  <si>
    <t>Диван "Савана"</t>
  </si>
  <si>
    <t>Угол  "Честер II"</t>
  </si>
  <si>
    <t>Диван   "Сидней"</t>
  </si>
  <si>
    <r>
      <t xml:space="preserve">Диван   "Мадрид - II" </t>
    </r>
    <r>
      <rPr>
        <b/>
        <sz val="8"/>
        <rFont val="Calibri"/>
        <family val="2"/>
        <charset val="204"/>
        <scheme val="minor"/>
      </rPr>
      <t>(с накл. и ножками)</t>
    </r>
  </si>
  <si>
    <r>
      <t xml:space="preserve">Диван  "Мадрид - I"   </t>
    </r>
    <r>
      <rPr>
        <b/>
        <sz val="8"/>
        <rFont val="Calibri"/>
        <family val="2"/>
        <charset val="204"/>
        <scheme val="minor"/>
      </rPr>
      <t>(без накл. и ножек)</t>
    </r>
  </si>
  <si>
    <t>1780х2000</t>
  </si>
  <si>
    <t>1100х2000</t>
  </si>
  <si>
    <t>2170х1070х870</t>
  </si>
  <si>
    <t>2110х1060х810</t>
  </si>
  <si>
    <t>1600х2000</t>
  </si>
  <si>
    <t>1530х1950</t>
  </si>
  <si>
    <t>1470х1970</t>
  </si>
  <si>
    <t>2000х1000х810</t>
  </si>
  <si>
    <t>2400х1120х800</t>
  </si>
  <si>
    <t>2330х860х800</t>
  </si>
  <si>
    <t>1600х1980</t>
  </si>
  <si>
    <t>2430х1650х980</t>
  </si>
  <si>
    <t>1500х1980</t>
  </si>
  <si>
    <t>2350х1600х970</t>
  </si>
  <si>
    <t>Кровать   "Марго 1.40"</t>
  </si>
  <si>
    <t>Кровать   "Марго 1.60"</t>
  </si>
  <si>
    <t>1400х2000</t>
  </si>
  <si>
    <t>1660х2150х1220</t>
  </si>
  <si>
    <t>1860х2150х1230</t>
  </si>
  <si>
    <r>
      <t xml:space="preserve">Угол  "Мадрид - I"   </t>
    </r>
    <r>
      <rPr>
        <b/>
        <sz val="8"/>
        <rFont val="Calibri"/>
        <family val="2"/>
        <charset val="204"/>
        <scheme val="minor"/>
      </rPr>
      <t>(без накл. и ножек)</t>
    </r>
  </si>
  <si>
    <r>
      <t xml:space="preserve">Угол  "Мадрид - II" </t>
    </r>
    <r>
      <rPr>
        <b/>
        <sz val="8"/>
        <rFont val="Calibri"/>
        <family val="2"/>
        <charset val="204"/>
        <scheme val="minor"/>
      </rPr>
      <t>(с накл. и ножками)</t>
    </r>
  </si>
  <si>
    <t>Пр. им. Газеты “Правды“ 40-а, 3-этаж, 1 офис</t>
  </si>
  <si>
    <t>тел. (056)-788-04-57 (056)-798-40-72</t>
  </si>
  <si>
    <t>моб. (050)-342-88-72 (063)-798-40-72</t>
  </si>
  <si>
    <t>факс: (056) 732-41-08</t>
  </si>
  <si>
    <t>http://mbid.com.ua</t>
  </si>
  <si>
    <t>Пр. Кирова 76 салон «Калибри»</t>
  </si>
  <si>
    <t>e-mail: mbid@ukr.net</t>
  </si>
  <si>
    <t>05.02.2014г.</t>
  </si>
  <si>
    <t>Фото</t>
  </si>
  <si>
    <r>
      <t xml:space="preserve">             </t>
    </r>
    <r>
      <rPr>
        <b/>
        <u/>
        <sz val="9"/>
        <color rgb="FF00B050"/>
        <rFont val="Arial Cyr"/>
        <charset val="204"/>
      </rPr>
      <t>Мебель быстро и доступно.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</si>
</sst>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2" x14ac:knownFonts="1">
    <font>
      <sz val="10"/>
      <name val="Arial Cyr"/>
      <charset val="204"/>
    </font>
    <font>
      <b/>
      <sz val="9"/>
      <color indexed="16"/>
      <name val="Tahoma"/>
      <family val="2"/>
      <charset val="204"/>
    </font>
    <font>
      <b/>
      <sz val="8"/>
      <color indexed="16"/>
      <name val="Tahoma"/>
      <family val="2"/>
      <charset val="204"/>
    </font>
    <font>
      <b/>
      <sz val="10"/>
      <name val="Arial Cyr"/>
      <charset val="204"/>
    </font>
    <font>
      <b/>
      <sz val="7"/>
      <name val="Arial Cyr"/>
      <charset val="204"/>
    </font>
    <font>
      <b/>
      <sz val="14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6"/>
      <name val="Arial Cyr"/>
      <charset val="204"/>
    </font>
    <font>
      <b/>
      <sz val="10"/>
      <name val="Tahoma"/>
      <family val="2"/>
      <charset val="204"/>
    </font>
    <font>
      <sz val="8"/>
      <name val="Tahoma"/>
      <family val="2"/>
      <charset val="204"/>
    </font>
    <font>
      <b/>
      <sz val="9"/>
      <name val="Tahoma"/>
      <family val="2"/>
      <charset val="204"/>
    </font>
    <font>
      <b/>
      <sz val="9"/>
      <name val="Arial Cyr"/>
      <charset val="204"/>
    </font>
    <font>
      <b/>
      <sz val="8"/>
      <name val="Arial Cyr"/>
      <charset val="204"/>
    </font>
    <font>
      <b/>
      <sz val="8"/>
      <name val="Tahoma"/>
      <family val="2"/>
      <charset val="204"/>
    </font>
    <font>
      <i/>
      <sz val="10"/>
      <name val="Arial Cyr"/>
      <charset val="204"/>
    </font>
    <font>
      <b/>
      <sz val="8"/>
      <name val="Cambria"/>
      <family val="1"/>
      <charset val="204"/>
      <scheme val="major"/>
    </font>
    <font>
      <b/>
      <sz val="16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8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9"/>
      <color rgb="FF00B050"/>
      <name val="Calibri"/>
      <family val="2"/>
      <charset val="204"/>
    </font>
    <font>
      <sz val="10"/>
      <color theme="1"/>
      <name val="Arial"/>
      <family val="2"/>
      <charset val="204"/>
    </font>
    <font>
      <sz val="10"/>
      <color rgb="FF00B050"/>
      <name val="Arial Cyr"/>
      <charset val="204"/>
    </font>
    <font>
      <b/>
      <u/>
      <sz val="9"/>
      <color rgb="FF00B050"/>
      <name val="Arial Cyr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5" tint="0.59999389629810485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7" borderId="1" applyNumberFormat="0" applyAlignment="0" applyProtection="0"/>
    <xf numFmtId="0" fontId="10" fillId="20" borderId="2" applyNumberFormat="0" applyAlignment="0" applyProtection="0"/>
    <xf numFmtId="0" fontId="11" fillId="20" borderId="1" applyNumberFormat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21" borderId="7" applyNumberFormat="0" applyAlignment="0" applyProtection="0"/>
    <xf numFmtId="0" fontId="1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9" fillId="3" borderId="0" applyNumberFormat="0" applyBorder="0" applyAlignment="0" applyProtection="0"/>
    <xf numFmtId="0" fontId="20" fillId="0" borderId="0" applyNumberFormat="0" applyFill="0" applyBorder="0" applyAlignment="0" applyProtection="0"/>
    <xf numFmtId="0" fontId="6" fillId="23" borderId="8" applyNumberFormat="0" applyFont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4" borderId="0" applyNumberFormat="0" applyBorder="0" applyAlignment="0" applyProtection="0"/>
  </cellStyleXfs>
  <cellXfs count="187">
    <xf numFmtId="0" fontId="0" fillId="0" borderId="0" xfId="0"/>
    <xf numFmtId="0" fontId="2" fillId="0" borderId="13" xfId="0" applyFont="1" applyFill="1" applyBorder="1" applyAlignment="1">
      <alignment horizontal="center" vertical="center"/>
    </xf>
    <xf numFmtId="0" fontId="3" fillId="0" borderId="0" xfId="0" applyFont="1"/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1" fillId="0" borderId="0" xfId="0" applyFont="1" applyFill="1" applyBorder="1" applyAlignment="1">
      <alignment vertical="center"/>
    </xf>
    <xf numFmtId="0" fontId="5" fillId="0" borderId="0" xfId="0" applyFont="1" applyFill="1" applyBorder="1"/>
    <xf numFmtId="9" fontId="3" fillId="0" borderId="0" xfId="0" applyNumberFormat="1" applyFont="1" applyFill="1" applyBorder="1"/>
    <xf numFmtId="0" fontId="4" fillId="0" borderId="0" xfId="0" applyFont="1" applyFill="1" applyBorder="1" applyAlignment="1">
      <alignment horizontal="right"/>
    </xf>
    <xf numFmtId="1" fontId="26" fillId="0" borderId="0" xfId="0" applyNumberFormat="1" applyFont="1" applyFill="1" applyBorder="1" applyAlignment="1">
      <alignment horizontal="right" vertical="center"/>
    </xf>
    <xf numFmtId="9" fontId="24" fillId="0" borderId="0" xfId="0" applyNumberFormat="1" applyFont="1" applyFill="1" applyBorder="1"/>
    <xf numFmtId="1" fontId="25" fillId="0" borderId="0" xfId="0" applyNumberFormat="1" applyFont="1" applyFill="1" applyBorder="1" applyAlignment="1">
      <alignment horizontal="center"/>
    </xf>
    <xf numFmtId="0" fontId="30" fillId="0" borderId="19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1" fontId="25" fillId="0" borderId="0" xfId="0" applyNumberFormat="1" applyFont="1" applyFill="1" applyBorder="1" applyAlignment="1">
      <alignment horizontal="center" vertical="center"/>
    </xf>
    <xf numFmtId="0" fontId="5" fillId="24" borderId="0" xfId="0" applyFont="1" applyFill="1"/>
    <xf numFmtId="0" fontId="3" fillId="24" borderId="0" xfId="0" applyFont="1" applyFill="1"/>
    <xf numFmtId="0" fontId="0" fillId="24" borderId="0" xfId="0" applyFont="1" applyFill="1"/>
    <xf numFmtId="0" fontId="27" fillId="24" borderId="30" xfId="0" applyFont="1" applyFill="1" applyBorder="1" applyAlignment="1">
      <alignment horizontal="center" vertical="center"/>
    </xf>
    <xf numFmtId="0" fontId="27" fillId="24" borderId="14" xfId="0" applyFont="1" applyFill="1" applyBorder="1" applyAlignment="1">
      <alignment vertical="center"/>
    </xf>
    <xf numFmtId="0" fontId="25" fillId="24" borderId="13" xfId="0" applyFont="1" applyFill="1" applyBorder="1" applyAlignment="1">
      <alignment horizontal="left" vertical="center"/>
    </xf>
    <xf numFmtId="1" fontId="27" fillId="24" borderId="13" xfId="0" applyNumberFormat="1" applyFont="1" applyFill="1" applyBorder="1" applyAlignment="1">
      <alignment horizontal="center" vertical="center"/>
    </xf>
    <xf numFmtId="0" fontId="25" fillId="24" borderId="0" xfId="0" applyFont="1" applyFill="1" applyBorder="1" applyAlignment="1">
      <alignment horizontal="center" vertical="center"/>
    </xf>
    <xf numFmtId="1" fontId="25" fillId="24" borderId="13" xfId="0" applyNumberFormat="1" applyFont="1" applyFill="1" applyBorder="1" applyAlignment="1">
      <alignment horizontal="center" vertical="center"/>
    </xf>
    <xf numFmtId="0" fontId="25" fillId="24" borderId="13" xfId="0" applyFont="1" applyFill="1" applyBorder="1" applyAlignment="1">
      <alignment horizontal="center" vertical="center"/>
    </xf>
    <xf numFmtId="1" fontId="27" fillId="24" borderId="23" xfId="0" applyNumberFormat="1" applyFont="1" applyFill="1" applyBorder="1" applyAlignment="1">
      <alignment horizontal="center" vertical="center"/>
    </xf>
    <xf numFmtId="0" fontId="25" fillId="24" borderId="23" xfId="0" applyFont="1" applyFill="1" applyBorder="1" applyAlignment="1">
      <alignment horizontal="center" vertical="center"/>
    </xf>
    <xf numFmtId="1" fontId="27" fillId="24" borderId="11" xfId="0" applyNumberFormat="1" applyFont="1" applyFill="1" applyBorder="1" applyAlignment="1">
      <alignment horizontal="center" vertical="center"/>
    </xf>
    <xf numFmtId="1" fontId="27" fillId="24" borderId="24" xfId="0" applyNumberFormat="1" applyFont="1" applyFill="1" applyBorder="1" applyAlignment="1">
      <alignment horizontal="center" vertical="center"/>
    </xf>
    <xf numFmtId="0" fontId="25" fillId="24" borderId="25" xfId="0" applyFont="1" applyFill="1" applyBorder="1" applyAlignment="1">
      <alignment horizontal="center" vertical="center"/>
    </xf>
    <xf numFmtId="1" fontId="27" fillId="24" borderId="18" xfId="0" applyNumberFormat="1" applyFont="1" applyFill="1" applyBorder="1" applyAlignment="1">
      <alignment horizontal="center" vertical="center"/>
    </xf>
    <xf numFmtId="0" fontId="25" fillId="24" borderId="19" xfId="0" applyFont="1" applyFill="1" applyBorder="1" applyAlignment="1">
      <alignment horizontal="center" vertical="center"/>
    </xf>
    <xf numFmtId="1" fontId="27" fillId="24" borderId="15" xfId="0" applyNumberFormat="1" applyFont="1" applyFill="1" applyBorder="1" applyAlignment="1">
      <alignment horizontal="center" vertical="center"/>
    </xf>
    <xf numFmtId="0" fontId="25" fillId="24" borderId="26" xfId="0" applyFont="1" applyFill="1" applyBorder="1" applyAlignment="1">
      <alignment horizontal="center" vertical="center"/>
    </xf>
    <xf numFmtId="0" fontId="25" fillId="24" borderId="19" xfId="0" applyFont="1" applyFill="1" applyBorder="1" applyAlignment="1">
      <alignment horizontal="left" vertical="center"/>
    </xf>
    <xf numFmtId="0" fontId="25" fillId="24" borderId="18" xfId="0" applyFont="1" applyFill="1" applyBorder="1" applyAlignment="1">
      <alignment horizontal="center" vertical="center"/>
    </xf>
    <xf numFmtId="1" fontId="27" fillId="24" borderId="14" xfId="0" applyNumberFormat="1" applyFont="1" applyFill="1" applyBorder="1" applyAlignment="1">
      <alignment horizontal="center" vertical="center"/>
    </xf>
    <xf numFmtId="0" fontId="25" fillId="24" borderId="23" xfId="0" applyFont="1" applyFill="1" applyBorder="1" applyAlignment="1">
      <alignment horizontal="left" vertical="center"/>
    </xf>
    <xf numFmtId="1" fontId="27" fillId="24" borderId="27" xfId="0" applyNumberFormat="1" applyFont="1" applyFill="1" applyBorder="1" applyAlignment="1">
      <alignment horizontal="center" vertical="center"/>
    </xf>
    <xf numFmtId="0" fontId="25" fillId="24" borderId="20" xfId="0" applyFont="1" applyFill="1" applyBorder="1" applyAlignment="1">
      <alignment horizontal="left" vertical="center"/>
    </xf>
    <xf numFmtId="0" fontId="3" fillId="24" borderId="13" xfId="0" applyFont="1" applyFill="1" applyBorder="1" applyAlignment="1">
      <alignment horizontal="left"/>
    </xf>
    <xf numFmtId="1" fontId="27" fillId="24" borderId="29" xfId="0" applyNumberFormat="1" applyFont="1" applyFill="1" applyBorder="1" applyAlignment="1">
      <alignment horizontal="center" vertical="center"/>
    </xf>
    <xf numFmtId="0" fontId="25" fillId="24" borderId="28" xfId="0" applyFont="1" applyFill="1" applyBorder="1" applyAlignment="1">
      <alignment horizontal="center" vertical="center"/>
    </xf>
    <xf numFmtId="1" fontId="25" fillId="24" borderId="12" xfId="0" applyNumberFormat="1" applyFont="1" applyFill="1" applyBorder="1" applyAlignment="1">
      <alignment horizontal="center" vertical="center"/>
    </xf>
    <xf numFmtId="1" fontId="25" fillId="24" borderId="23" xfId="0" applyNumberFormat="1" applyFont="1" applyFill="1" applyBorder="1" applyAlignment="1">
      <alignment horizontal="center" vertical="center"/>
    </xf>
    <xf numFmtId="1" fontId="25" fillId="24" borderId="26" xfId="0" applyNumberFormat="1" applyFont="1" applyFill="1" applyBorder="1" applyAlignment="1">
      <alignment horizontal="center" vertical="center"/>
    </xf>
    <xf numFmtId="1" fontId="27" fillId="24" borderId="32" xfId="0" applyNumberFormat="1" applyFont="1" applyFill="1" applyBorder="1" applyAlignment="1">
      <alignment horizontal="center" vertical="center"/>
    </xf>
    <xf numFmtId="1" fontId="27" fillId="24" borderId="31" xfId="0" applyNumberFormat="1" applyFont="1" applyFill="1" applyBorder="1" applyAlignment="1">
      <alignment horizontal="center" vertical="center"/>
    </xf>
    <xf numFmtId="1" fontId="25" fillId="24" borderId="18" xfId="0" applyNumberFormat="1" applyFont="1" applyFill="1" applyBorder="1" applyAlignment="1">
      <alignment horizontal="center" vertical="center"/>
    </xf>
    <xf numFmtId="1" fontId="25" fillId="24" borderId="16" xfId="0" applyNumberFormat="1" applyFont="1" applyFill="1" applyBorder="1" applyAlignment="1">
      <alignment horizontal="center" vertical="center"/>
    </xf>
    <xf numFmtId="0" fontId="28" fillId="24" borderId="20" xfId="0" applyFont="1" applyFill="1" applyBorder="1" applyAlignment="1">
      <alignment horizontal="left"/>
    </xf>
    <xf numFmtId="0" fontId="28" fillId="24" borderId="13" xfId="0" applyFont="1" applyFill="1" applyBorder="1" applyAlignment="1">
      <alignment horizontal="left"/>
    </xf>
    <xf numFmtId="0" fontId="28" fillId="24" borderId="28" xfId="0" applyFont="1" applyFill="1" applyBorder="1" applyAlignment="1">
      <alignment horizontal="left"/>
    </xf>
    <xf numFmtId="0" fontId="3" fillId="24" borderId="28" xfId="0" applyFont="1" applyFill="1" applyBorder="1" applyAlignment="1">
      <alignment horizontal="left"/>
    </xf>
    <xf numFmtId="1" fontId="25" fillId="24" borderId="23" xfId="0" applyNumberFormat="1" applyFont="1" applyFill="1" applyBorder="1" applyAlignment="1">
      <alignment horizontal="left" vertical="center"/>
    </xf>
    <xf numFmtId="0" fontId="3" fillId="24" borderId="20" xfId="0" applyFont="1" applyFill="1" applyBorder="1" applyAlignment="1">
      <alignment horizontal="left"/>
    </xf>
    <xf numFmtId="0" fontId="25" fillId="24" borderId="20" xfId="0" applyFont="1" applyFill="1" applyBorder="1" applyAlignment="1">
      <alignment horizontal="center" vertical="center"/>
    </xf>
    <xf numFmtId="1" fontId="27" fillId="24" borderId="17" xfId="0" applyNumberFormat="1" applyFont="1" applyFill="1" applyBorder="1" applyAlignment="1">
      <alignment horizontal="center" vertical="center"/>
    </xf>
    <xf numFmtId="1" fontId="27" fillId="24" borderId="0" xfId="0" applyNumberFormat="1" applyFont="1" applyFill="1" applyBorder="1" applyAlignment="1">
      <alignment horizontal="center" vertical="center"/>
    </xf>
    <xf numFmtId="1" fontId="25" fillId="24" borderId="11" xfId="0" applyNumberFormat="1" applyFont="1" applyFill="1" applyBorder="1" applyAlignment="1">
      <alignment horizontal="center" vertical="center"/>
    </xf>
    <xf numFmtId="0" fontId="3" fillId="24" borderId="23" xfId="0" applyFont="1" applyFill="1" applyBorder="1" applyAlignment="1">
      <alignment horizontal="left"/>
    </xf>
    <xf numFmtId="1" fontId="25" fillId="24" borderId="17" xfId="0" applyNumberFormat="1" applyFont="1" applyFill="1" applyBorder="1" applyAlignment="1">
      <alignment horizontal="center" vertical="center"/>
    </xf>
    <xf numFmtId="0" fontId="31" fillId="0" borderId="35" xfId="0" applyFont="1" applyBorder="1"/>
    <xf numFmtId="0" fontId="3" fillId="0" borderId="35" xfId="0" applyFont="1" applyFill="1" applyBorder="1"/>
    <xf numFmtId="0" fontId="30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0" fontId="35" fillId="0" borderId="0" xfId="0" applyFont="1" applyFill="1" applyBorder="1"/>
    <xf numFmtId="9" fontId="32" fillId="0" borderId="0" xfId="0" applyNumberFormat="1" applyFont="1" applyFill="1" applyBorder="1"/>
    <xf numFmtId="9" fontId="33" fillId="0" borderId="0" xfId="0" applyNumberFormat="1" applyFont="1" applyFill="1" applyBorder="1"/>
    <xf numFmtId="9" fontId="34" fillId="0" borderId="0" xfId="0" applyNumberFormat="1" applyFont="1" applyFill="1" applyBorder="1"/>
    <xf numFmtId="0" fontId="34" fillId="0" borderId="0" xfId="0" applyFont="1" applyFill="1" applyBorder="1"/>
    <xf numFmtId="0" fontId="0" fillId="0" borderId="0" xfId="0" applyFont="1" applyFill="1" applyBorder="1"/>
    <xf numFmtId="0" fontId="25" fillId="0" borderId="0" xfId="0" applyFont="1" applyFill="1" applyBorder="1" applyAlignment="1">
      <alignment horizontal="left" vertical="center"/>
    </xf>
    <xf numFmtId="1" fontId="27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1" fontId="25" fillId="0" borderId="0" xfId="0" applyNumberFormat="1" applyFont="1" applyFill="1" applyBorder="1" applyAlignment="1">
      <alignment horizontal="left" vertical="center"/>
    </xf>
    <xf numFmtId="0" fontId="31" fillId="0" borderId="0" xfId="0" applyFont="1" applyFill="1" applyBorder="1"/>
    <xf numFmtId="9" fontId="29" fillId="0" borderId="0" xfId="0" applyNumberFormat="1" applyFont="1" applyFill="1" applyBorder="1"/>
    <xf numFmtId="0" fontId="3" fillId="24" borderId="26" xfId="0" applyFont="1" applyFill="1" applyBorder="1" applyAlignment="1">
      <alignment horizontal="left"/>
    </xf>
    <xf numFmtId="0" fontId="25" fillId="24" borderId="12" xfId="0" applyFont="1" applyFill="1" applyBorder="1" applyAlignment="1">
      <alignment horizontal="center" vertical="center"/>
    </xf>
    <xf numFmtId="0" fontId="0" fillId="25" borderId="0" xfId="0" applyFill="1" applyBorder="1"/>
    <xf numFmtId="0" fontId="27" fillId="0" borderId="11" xfId="0" applyFont="1" applyFill="1" applyBorder="1" applyAlignment="1">
      <alignment vertical="center"/>
    </xf>
    <xf numFmtId="0" fontId="27" fillId="0" borderId="26" xfId="0" applyFont="1" applyFill="1" applyBorder="1" applyAlignment="1">
      <alignment vertical="center"/>
    </xf>
    <xf numFmtId="0" fontId="1" fillId="0" borderId="11" xfId="0" applyFont="1" applyFill="1" applyBorder="1" applyAlignment="1">
      <alignment vertical="center"/>
    </xf>
    <xf numFmtId="0" fontId="1" fillId="0" borderId="12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left"/>
    </xf>
    <xf numFmtId="0" fontId="37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27" fillId="24" borderId="20" xfId="0" applyFont="1" applyFill="1" applyBorder="1" applyAlignment="1">
      <alignment horizontal="center" vertical="center"/>
    </xf>
    <xf numFmtId="0" fontId="27" fillId="24" borderId="19" xfId="0" applyFont="1" applyFill="1" applyBorder="1" applyAlignment="1">
      <alignment horizontal="center" vertical="center"/>
    </xf>
    <xf numFmtId="0" fontId="3" fillId="0" borderId="0" xfId="0" applyFont="1" applyFill="1"/>
    <xf numFmtId="0" fontId="0" fillId="0" borderId="0" xfId="0" applyFill="1"/>
    <xf numFmtId="9" fontId="32" fillId="0" borderId="0" xfId="0" applyNumberFormat="1" applyFont="1" applyFill="1"/>
    <xf numFmtId="9" fontId="33" fillId="0" borderId="0" xfId="0" applyNumberFormat="1" applyFont="1" applyFill="1"/>
    <xf numFmtId="9" fontId="34" fillId="0" borderId="0" xfId="0" applyNumberFormat="1" applyFont="1" applyFill="1"/>
    <xf numFmtId="0" fontId="34" fillId="0" borderId="0" xfId="0" applyFont="1" applyFill="1"/>
    <xf numFmtId="0" fontId="3" fillId="0" borderId="33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1" fontId="25" fillId="0" borderId="35" xfId="0" applyNumberFormat="1" applyFont="1" applyFill="1" applyBorder="1" applyAlignment="1">
      <alignment horizontal="center" vertical="center"/>
    </xf>
    <xf numFmtId="9" fontId="29" fillId="0" borderId="0" xfId="0" applyNumberFormat="1" applyFont="1" applyFill="1"/>
    <xf numFmtId="9" fontId="24" fillId="0" borderId="0" xfId="0" applyNumberFormat="1" applyFont="1" applyFill="1"/>
    <xf numFmtId="9" fontId="3" fillId="0" borderId="0" xfId="0" applyNumberFormat="1" applyFont="1" applyFill="1"/>
    <xf numFmtId="0" fontId="27" fillId="0" borderId="32" xfId="0" applyFont="1" applyFill="1" applyBorder="1" applyAlignment="1">
      <alignment vertical="center"/>
    </xf>
    <xf numFmtId="0" fontId="1" fillId="0" borderId="14" xfId="0" applyFont="1" applyFill="1" applyBorder="1" applyAlignment="1">
      <alignment vertical="center"/>
    </xf>
    <xf numFmtId="0" fontId="1" fillId="0" borderId="15" xfId="0" applyFont="1" applyFill="1" applyBorder="1" applyAlignment="1">
      <alignment vertical="center"/>
    </xf>
    <xf numFmtId="1" fontId="25" fillId="0" borderId="13" xfId="0" applyNumberFormat="1" applyFont="1" applyFill="1" applyBorder="1" applyAlignment="1">
      <alignment horizontal="center" vertical="center"/>
    </xf>
    <xf numFmtId="1" fontId="25" fillId="0" borderId="32" xfId="0" applyNumberFormat="1" applyFont="1" applyFill="1" applyBorder="1" applyAlignment="1">
      <alignment horizontal="center" vertical="center"/>
    </xf>
    <xf numFmtId="1" fontId="25" fillId="0" borderId="15" xfId="0" applyNumberFormat="1" applyFont="1" applyFill="1" applyBorder="1" applyAlignment="1">
      <alignment horizontal="center" vertical="center"/>
    </xf>
    <xf numFmtId="1" fontId="25" fillId="0" borderId="12" xfId="0" applyNumberFormat="1" applyFont="1" applyFill="1" applyBorder="1" applyAlignment="1">
      <alignment horizontal="center" vertical="center"/>
    </xf>
    <xf numFmtId="1" fontId="25" fillId="0" borderId="23" xfId="0" applyNumberFormat="1" applyFont="1" applyFill="1" applyBorder="1" applyAlignment="1">
      <alignment horizontal="center" vertical="center"/>
    </xf>
    <xf numFmtId="1" fontId="25" fillId="0" borderId="26" xfId="0" applyNumberFormat="1" applyFont="1" applyFill="1" applyBorder="1" applyAlignment="1">
      <alignment horizontal="center" vertical="center"/>
    </xf>
    <xf numFmtId="1" fontId="25" fillId="0" borderId="18" xfId="0" applyNumberFormat="1" applyFont="1" applyFill="1" applyBorder="1" applyAlignment="1">
      <alignment horizontal="center" vertical="center"/>
    </xf>
    <xf numFmtId="1" fontId="25" fillId="0" borderId="19" xfId="0" applyNumberFormat="1" applyFont="1" applyFill="1" applyBorder="1" applyAlignment="1">
      <alignment horizontal="center" vertical="center"/>
    </xf>
    <xf numFmtId="1" fontId="25" fillId="0" borderId="16" xfId="0" applyNumberFormat="1" applyFont="1" applyFill="1" applyBorder="1" applyAlignment="1">
      <alignment horizontal="center" vertical="center"/>
    </xf>
    <xf numFmtId="1" fontId="25" fillId="0" borderId="10" xfId="0" applyNumberFormat="1" applyFont="1" applyFill="1" applyBorder="1" applyAlignment="1">
      <alignment horizontal="center" vertical="center"/>
    </xf>
    <xf numFmtId="1" fontId="25" fillId="0" borderId="20" xfId="0" applyNumberFormat="1" applyFont="1" applyFill="1" applyBorder="1" applyAlignment="1">
      <alignment horizontal="center" vertical="center"/>
    </xf>
    <xf numFmtId="1" fontId="25" fillId="0" borderId="34" xfId="0" applyNumberFormat="1" applyFont="1" applyFill="1" applyBorder="1" applyAlignment="1">
      <alignment horizontal="center" vertical="center"/>
    </xf>
    <xf numFmtId="1" fontId="25" fillId="0" borderId="24" xfId="0" applyNumberFormat="1" applyFont="1" applyFill="1" applyBorder="1" applyAlignment="1">
      <alignment horizontal="center"/>
    </xf>
    <xf numFmtId="1" fontId="25" fillId="0" borderId="21" xfId="0" applyNumberFormat="1" applyFont="1" applyFill="1" applyBorder="1" applyAlignment="1">
      <alignment horizontal="center" vertical="center"/>
    </xf>
    <xf numFmtId="1" fontId="25" fillId="0" borderId="21" xfId="0" applyNumberFormat="1" applyFont="1" applyFill="1" applyBorder="1" applyAlignment="1">
      <alignment horizontal="center"/>
    </xf>
    <xf numFmtId="1" fontId="25" fillId="0" borderId="22" xfId="0" applyNumberFormat="1" applyFont="1" applyFill="1" applyBorder="1" applyAlignment="1">
      <alignment horizontal="center"/>
    </xf>
    <xf numFmtId="1" fontId="25" fillId="0" borderId="13" xfId="0" applyNumberFormat="1" applyFont="1" applyFill="1" applyBorder="1" applyAlignment="1">
      <alignment horizontal="center"/>
    </xf>
    <xf numFmtId="1" fontId="25" fillId="0" borderId="11" xfId="0" applyNumberFormat="1" applyFont="1" applyFill="1" applyBorder="1" applyAlignment="1">
      <alignment horizontal="center" vertical="center"/>
    </xf>
    <xf numFmtId="1" fontId="26" fillId="0" borderId="15" xfId="0" applyNumberFormat="1" applyFont="1" applyFill="1" applyBorder="1" applyAlignment="1">
      <alignment horizontal="right" vertical="center"/>
    </xf>
    <xf numFmtId="0" fontId="4" fillId="0" borderId="21" xfId="0" applyFont="1" applyFill="1" applyBorder="1" applyAlignment="1">
      <alignment horizontal="right"/>
    </xf>
    <xf numFmtId="0" fontId="4" fillId="0" borderId="22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38" fillId="0" borderId="0" xfId="0" applyFont="1" applyAlignment="1">
      <alignment horizontal="justify" vertical="center"/>
    </xf>
    <xf numFmtId="1" fontId="27" fillId="26" borderId="35" xfId="0" applyNumberFormat="1" applyFont="1" applyFill="1" applyBorder="1" applyAlignment="1">
      <alignment horizontal="center" vertical="center"/>
    </xf>
    <xf numFmtId="0" fontId="25" fillId="26" borderId="35" xfId="0" applyFont="1" applyFill="1" applyBorder="1" applyAlignment="1">
      <alignment horizontal="center" vertical="center"/>
    </xf>
    <xf numFmtId="1" fontId="25" fillId="26" borderId="35" xfId="0" applyNumberFormat="1" applyFont="1" applyFill="1" applyBorder="1" applyAlignment="1">
      <alignment horizontal="center" vertical="center"/>
    </xf>
    <xf numFmtId="0" fontId="27" fillId="0" borderId="19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0" fillId="0" borderId="11" xfId="0" applyBorder="1"/>
    <xf numFmtId="0" fontId="0" fillId="0" borderId="0" xfId="0" applyBorder="1"/>
    <xf numFmtId="0" fontId="39" fillId="0" borderId="0" xfId="0" applyFont="1" applyBorder="1"/>
    <xf numFmtId="0" fontId="0" fillId="0" borderId="0" xfId="0" applyFont="1" applyBorder="1"/>
    <xf numFmtId="0" fontId="27" fillId="0" borderId="37" xfId="0" applyFont="1" applyFill="1" applyBorder="1" applyAlignment="1">
      <alignment horizontal="center" vertical="center"/>
    </xf>
    <xf numFmtId="0" fontId="27" fillId="0" borderId="23" xfId="0" applyFont="1" applyFill="1" applyBorder="1" applyAlignment="1">
      <alignment horizontal="center" vertical="center"/>
    </xf>
    <xf numFmtId="0" fontId="3" fillId="26" borderId="36" xfId="0" applyFont="1" applyFill="1" applyBorder="1" applyAlignment="1">
      <alignment horizontal="center" vertical="center"/>
    </xf>
    <xf numFmtId="0" fontId="0" fillId="0" borderId="13" xfId="0" applyBorder="1"/>
    <xf numFmtId="0" fontId="0" fillId="0" borderId="0" xfId="0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5" fillId="26" borderId="36" xfId="0" applyFont="1" applyFill="1" applyBorder="1" applyAlignment="1">
      <alignment horizontal="center" vertical="center"/>
    </xf>
    <xf numFmtId="0" fontId="0" fillId="0" borderId="13" xfId="0" applyFill="1" applyBorder="1"/>
    <xf numFmtId="0" fontId="25" fillId="26" borderId="38" xfId="0" applyFont="1" applyFill="1" applyBorder="1" applyAlignment="1">
      <alignment horizontal="center" vertical="center"/>
    </xf>
    <xf numFmtId="0" fontId="37" fillId="26" borderId="36" xfId="0" applyFont="1" applyFill="1" applyBorder="1" applyAlignment="1">
      <alignment horizontal="center" vertical="center"/>
    </xf>
    <xf numFmtId="0" fontId="0" fillId="0" borderId="23" xfId="0" applyBorder="1" applyAlignment="1"/>
    <xf numFmtId="0" fontId="0" fillId="0" borderId="19" xfId="0" applyBorder="1" applyAlignment="1"/>
    <xf numFmtId="0" fontId="0" fillId="0" borderId="2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34" fillId="26" borderId="39" xfId="0" applyFont="1" applyFill="1" applyBorder="1" applyAlignment="1">
      <alignment horizontal="center"/>
    </xf>
    <xf numFmtId="0" fontId="34" fillId="26" borderId="40" xfId="0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 vertical="center" wrapText="1"/>
    </xf>
    <xf numFmtId="0" fontId="27" fillId="26" borderId="34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14" fontId="1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27" fillId="24" borderId="23" xfId="0" applyFont="1" applyFill="1" applyBorder="1" applyAlignment="1">
      <alignment horizontal="center" vertical="center"/>
    </xf>
    <xf numFmtId="0" fontId="27" fillId="24" borderId="20" xfId="0" applyFont="1" applyFill="1" applyBorder="1" applyAlignment="1">
      <alignment horizontal="center" vertical="center"/>
    </xf>
    <xf numFmtId="0" fontId="3" fillId="24" borderId="0" xfId="0" applyFont="1" applyFill="1" applyBorder="1" applyAlignment="1">
      <alignment horizontal="center"/>
    </xf>
    <xf numFmtId="0" fontId="27" fillId="24" borderId="32" xfId="0" applyFont="1" applyFill="1" applyBorder="1" applyAlignment="1">
      <alignment horizontal="center"/>
    </xf>
    <xf numFmtId="0" fontId="27" fillId="24" borderId="14" xfId="0" applyFont="1" applyFill="1" applyBorder="1" applyAlignment="1">
      <alignment horizontal="center"/>
    </xf>
    <xf numFmtId="14" fontId="1" fillId="0" borderId="14" xfId="0" applyNumberFormat="1" applyFont="1" applyFill="1" applyBorder="1" applyAlignment="1">
      <alignment horizontal="center"/>
    </xf>
    <xf numFmtId="0" fontId="1" fillId="0" borderId="14" xfId="0" applyNumberFormat="1" applyFont="1" applyFill="1" applyBorder="1" applyAlignment="1">
      <alignment horizontal="center"/>
    </xf>
    <xf numFmtId="0" fontId="1" fillId="0" borderId="15" xfId="0" applyNumberFormat="1" applyFont="1" applyFill="1" applyBorder="1" applyAlignment="1">
      <alignment horizontal="center"/>
    </xf>
    <xf numFmtId="0" fontId="27" fillId="24" borderId="19" xfId="0" applyFont="1" applyFill="1" applyBorder="1" applyAlignment="1">
      <alignment horizontal="center" vertical="center"/>
    </xf>
    <xf numFmtId="0" fontId="27" fillId="24" borderId="19" xfId="0" applyFont="1" applyFill="1" applyBorder="1" applyAlignment="1">
      <alignment horizontal="center" vertical="center" wrapText="1"/>
    </xf>
    <xf numFmtId="0" fontId="27" fillId="24" borderId="32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7" xfId="0" applyBorder="1" applyAlignment="1"/>
    <xf numFmtId="0" fontId="27" fillId="0" borderId="23" xfId="0" applyFont="1" applyFill="1" applyBorder="1" applyAlignment="1">
      <alignment horizontal="center" vertical="center"/>
    </xf>
    <xf numFmtId="0" fontId="27" fillId="0" borderId="20" xfId="0" applyFont="1" applyFill="1" applyBorder="1" applyAlignment="1">
      <alignment horizontal="center" vertical="center"/>
    </xf>
    <xf numFmtId="0" fontId="40" fillId="0" borderId="0" xfId="0" applyFont="1" applyFill="1"/>
  </cellXfs>
  <cellStyles count="42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9" defaultPivotStyle="PivotStyleLight16"/>
  <colors>
    <mruColors>
      <color rgb="FFCCFFCC"/>
      <color rgb="FFFFCCFF"/>
      <color rgb="FFFFFF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1</xdr:row>
      <xdr:rowOff>57149</xdr:rowOff>
    </xdr:from>
    <xdr:to>
      <xdr:col>0</xdr:col>
      <xdr:colOff>2038350</xdr:colOff>
      <xdr:row>6</xdr:row>
      <xdr:rowOff>95599</xdr:rowOff>
    </xdr:to>
    <xdr:pic>
      <xdr:nvPicPr>
        <xdr:cNvPr id="3" name="Рисунок 2" descr="Graphic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19074"/>
          <a:ext cx="1352550" cy="848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14</xdr:row>
      <xdr:rowOff>57150</xdr:rowOff>
    </xdr:from>
    <xdr:to>
      <xdr:col>0</xdr:col>
      <xdr:colOff>1993064</xdr:colOff>
      <xdr:row>17</xdr:row>
      <xdr:rowOff>171450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66975"/>
          <a:ext cx="160253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390526</xdr:colOff>
      <xdr:row>18</xdr:row>
      <xdr:rowOff>171451</xdr:rowOff>
    </xdr:from>
    <xdr:to>
      <xdr:col>0</xdr:col>
      <xdr:colOff>1668184</xdr:colOff>
      <xdr:row>21</xdr:row>
      <xdr:rowOff>123825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3571876"/>
          <a:ext cx="1277658" cy="69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22</xdr:row>
      <xdr:rowOff>19050</xdr:rowOff>
    </xdr:from>
    <xdr:to>
      <xdr:col>0</xdr:col>
      <xdr:colOff>1724025</xdr:colOff>
      <xdr:row>23</xdr:row>
      <xdr:rowOff>449834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410075"/>
          <a:ext cx="1323975" cy="935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28</xdr:row>
      <xdr:rowOff>95250</xdr:rowOff>
    </xdr:from>
    <xdr:to>
      <xdr:col>0</xdr:col>
      <xdr:colOff>2143125</xdr:colOff>
      <xdr:row>36</xdr:row>
      <xdr:rowOff>125857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143625"/>
          <a:ext cx="1876425" cy="1326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380999</xdr:colOff>
      <xdr:row>41</xdr:row>
      <xdr:rowOff>66675</xdr:rowOff>
    </xdr:from>
    <xdr:to>
      <xdr:col>0</xdr:col>
      <xdr:colOff>1838325</xdr:colOff>
      <xdr:row>43</xdr:row>
      <xdr:rowOff>296419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" y="8924925"/>
          <a:ext cx="1457326" cy="1029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371476</xdr:colOff>
      <xdr:row>39</xdr:row>
      <xdr:rowOff>38101</xdr:rowOff>
    </xdr:from>
    <xdr:to>
      <xdr:col>0</xdr:col>
      <xdr:colOff>1704976</xdr:colOff>
      <xdr:row>40</xdr:row>
      <xdr:rowOff>475616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7886701"/>
          <a:ext cx="1333500" cy="942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</xdr:colOff>
      <xdr:row>25</xdr:row>
      <xdr:rowOff>38100</xdr:rowOff>
    </xdr:from>
    <xdr:to>
      <xdr:col>0</xdr:col>
      <xdr:colOff>1857375</xdr:colOff>
      <xdr:row>25</xdr:row>
      <xdr:rowOff>973709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600700"/>
          <a:ext cx="1323975" cy="935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26</xdr:row>
      <xdr:rowOff>28575</xdr:rowOff>
    </xdr:from>
    <xdr:to>
      <xdr:col>0</xdr:col>
      <xdr:colOff>1819275</xdr:colOff>
      <xdr:row>26</xdr:row>
      <xdr:rowOff>964184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600825"/>
          <a:ext cx="1323975" cy="935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533401</xdr:colOff>
      <xdr:row>54</xdr:row>
      <xdr:rowOff>38101</xdr:rowOff>
    </xdr:from>
    <xdr:to>
      <xdr:col>0</xdr:col>
      <xdr:colOff>1828801</xdr:colOff>
      <xdr:row>54</xdr:row>
      <xdr:rowOff>953517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13411201"/>
          <a:ext cx="1295400" cy="91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46</xdr:row>
      <xdr:rowOff>38100</xdr:rowOff>
    </xdr:from>
    <xdr:to>
      <xdr:col>0</xdr:col>
      <xdr:colOff>1828800</xdr:colOff>
      <xdr:row>46</xdr:row>
      <xdr:rowOff>973709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2115800"/>
          <a:ext cx="1323975" cy="935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495301</xdr:colOff>
      <xdr:row>59</xdr:row>
      <xdr:rowOff>38101</xdr:rowOff>
    </xdr:from>
    <xdr:to>
      <xdr:col>0</xdr:col>
      <xdr:colOff>1775783</xdr:colOff>
      <xdr:row>59</xdr:row>
      <xdr:rowOff>942975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1" y="15935326"/>
          <a:ext cx="1280482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438151</xdr:colOff>
      <xdr:row>63</xdr:row>
      <xdr:rowOff>47626</xdr:rowOff>
    </xdr:from>
    <xdr:to>
      <xdr:col>0</xdr:col>
      <xdr:colOff>1724025</xdr:colOff>
      <xdr:row>63</xdr:row>
      <xdr:rowOff>956310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17440276"/>
          <a:ext cx="1285874" cy="908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48</xdr:row>
      <xdr:rowOff>38100</xdr:rowOff>
    </xdr:from>
    <xdr:to>
      <xdr:col>0</xdr:col>
      <xdr:colOff>1752600</xdr:colOff>
      <xdr:row>48</xdr:row>
      <xdr:rowOff>946785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3296900"/>
          <a:ext cx="1285875" cy="908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552449</xdr:colOff>
      <xdr:row>52</xdr:row>
      <xdr:rowOff>66674</xdr:rowOff>
    </xdr:from>
    <xdr:to>
      <xdr:col>0</xdr:col>
      <xdr:colOff>1838324</xdr:colOff>
      <xdr:row>53</xdr:row>
      <xdr:rowOff>470534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49" y="14839949"/>
          <a:ext cx="1285875" cy="908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44</xdr:row>
      <xdr:rowOff>47625</xdr:rowOff>
    </xdr:from>
    <xdr:to>
      <xdr:col>0</xdr:col>
      <xdr:colOff>1685925</xdr:colOff>
      <xdr:row>44</xdr:row>
      <xdr:rowOff>949579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801475"/>
          <a:ext cx="1276350" cy="901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49</xdr:row>
      <xdr:rowOff>66676</xdr:rowOff>
    </xdr:from>
    <xdr:to>
      <xdr:col>0</xdr:col>
      <xdr:colOff>1724026</xdr:colOff>
      <xdr:row>49</xdr:row>
      <xdr:rowOff>968630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5192376"/>
          <a:ext cx="1276350" cy="901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57</xdr:row>
      <xdr:rowOff>57150</xdr:rowOff>
    </xdr:from>
    <xdr:to>
      <xdr:col>0</xdr:col>
      <xdr:colOff>1704975</xdr:colOff>
      <xdr:row>58</xdr:row>
      <xdr:rowOff>474472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8878550"/>
          <a:ext cx="1304925" cy="922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60</xdr:row>
      <xdr:rowOff>76200</xdr:rowOff>
    </xdr:from>
    <xdr:to>
      <xdr:col>0</xdr:col>
      <xdr:colOff>1590675</xdr:colOff>
      <xdr:row>60</xdr:row>
      <xdr:rowOff>931037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916900"/>
          <a:ext cx="1209675" cy="854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56</xdr:row>
      <xdr:rowOff>28575</xdr:rowOff>
    </xdr:from>
    <xdr:to>
      <xdr:col>0</xdr:col>
      <xdr:colOff>1743075</xdr:colOff>
      <xdr:row>56</xdr:row>
      <xdr:rowOff>970915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8688050"/>
          <a:ext cx="1333500" cy="942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55</xdr:row>
      <xdr:rowOff>47625</xdr:rowOff>
    </xdr:from>
    <xdr:to>
      <xdr:col>0</xdr:col>
      <xdr:colOff>1789262</xdr:colOff>
      <xdr:row>55</xdr:row>
      <xdr:rowOff>962025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8535650"/>
          <a:ext cx="129396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51</xdr:row>
      <xdr:rowOff>57150</xdr:rowOff>
    </xdr:from>
    <xdr:to>
      <xdr:col>0</xdr:col>
      <xdr:colOff>1790700</xdr:colOff>
      <xdr:row>51</xdr:row>
      <xdr:rowOff>992759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6363950"/>
          <a:ext cx="1323975" cy="935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47</xdr:row>
      <xdr:rowOff>38100</xdr:rowOff>
    </xdr:from>
    <xdr:to>
      <xdr:col>0</xdr:col>
      <xdr:colOff>1752600</xdr:colOff>
      <xdr:row>47</xdr:row>
      <xdr:rowOff>960247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3982700"/>
          <a:ext cx="1304925" cy="922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400051</xdr:colOff>
      <xdr:row>45</xdr:row>
      <xdr:rowOff>47626</xdr:rowOff>
    </xdr:from>
    <xdr:to>
      <xdr:col>0</xdr:col>
      <xdr:colOff>1695451</xdr:colOff>
      <xdr:row>45</xdr:row>
      <xdr:rowOff>963042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12811126"/>
          <a:ext cx="1295400" cy="91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70</xdr:row>
      <xdr:rowOff>57150</xdr:rowOff>
    </xdr:from>
    <xdr:to>
      <xdr:col>0</xdr:col>
      <xdr:colOff>1657350</xdr:colOff>
      <xdr:row>71</xdr:row>
      <xdr:rowOff>447548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9289375"/>
          <a:ext cx="1266825" cy="895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61</xdr:row>
      <xdr:rowOff>47625</xdr:rowOff>
    </xdr:from>
    <xdr:to>
      <xdr:col>0</xdr:col>
      <xdr:colOff>1666875</xdr:colOff>
      <xdr:row>61</xdr:row>
      <xdr:rowOff>915924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6108025"/>
          <a:ext cx="1228725" cy="868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68</xdr:row>
      <xdr:rowOff>66675</xdr:rowOff>
    </xdr:from>
    <xdr:to>
      <xdr:col>0</xdr:col>
      <xdr:colOff>1685925</xdr:colOff>
      <xdr:row>68</xdr:row>
      <xdr:rowOff>975360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813250"/>
          <a:ext cx="1285875" cy="908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62</xdr:row>
      <xdr:rowOff>38100</xdr:rowOff>
    </xdr:from>
    <xdr:to>
      <xdr:col>0</xdr:col>
      <xdr:colOff>1657349</xdr:colOff>
      <xdr:row>62</xdr:row>
      <xdr:rowOff>926591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7108150"/>
          <a:ext cx="1257299" cy="888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67</xdr:row>
      <xdr:rowOff>47625</xdr:rowOff>
    </xdr:from>
    <xdr:to>
      <xdr:col>0</xdr:col>
      <xdr:colOff>1674961</xdr:colOff>
      <xdr:row>67</xdr:row>
      <xdr:rowOff>962024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632275"/>
          <a:ext cx="1293961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64</xdr:row>
      <xdr:rowOff>57150</xdr:rowOff>
    </xdr:from>
    <xdr:to>
      <xdr:col>0</xdr:col>
      <xdr:colOff>1733550</xdr:colOff>
      <xdr:row>64</xdr:row>
      <xdr:rowOff>959104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9146500"/>
          <a:ext cx="1276350" cy="901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69</xdr:row>
      <xdr:rowOff>57151</xdr:rowOff>
    </xdr:from>
    <xdr:to>
      <xdr:col>0</xdr:col>
      <xdr:colOff>1666876</xdr:colOff>
      <xdr:row>69</xdr:row>
      <xdr:rowOff>918719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32508826"/>
          <a:ext cx="1219200" cy="86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65</xdr:row>
      <xdr:rowOff>38100</xdr:rowOff>
    </xdr:from>
    <xdr:to>
      <xdr:col>0</xdr:col>
      <xdr:colOff>1714500</xdr:colOff>
      <xdr:row>65</xdr:row>
      <xdr:rowOff>980440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137100"/>
          <a:ext cx="1333500" cy="942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66</xdr:row>
      <xdr:rowOff>28575</xdr:rowOff>
    </xdr:from>
    <xdr:to>
      <xdr:col>0</xdr:col>
      <xdr:colOff>1657350</xdr:colOff>
      <xdr:row>66</xdr:row>
      <xdr:rowOff>964184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1137225"/>
          <a:ext cx="1323975" cy="935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73</xdr:row>
      <xdr:rowOff>38100</xdr:rowOff>
    </xdr:from>
    <xdr:to>
      <xdr:col>0</xdr:col>
      <xdr:colOff>1704975</xdr:colOff>
      <xdr:row>73</xdr:row>
      <xdr:rowOff>953516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6366450"/>
          <a:ext cx="1295400" cy="91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72</xdr:row>
      <xdr:rowOff>28575</xdr:rowOff>
    </xdr:from>
    <xdr:to>
      <xdr:col>0</xdr:col>
      <xdr:colOff>1733550</xdr:colOff>
      <xdr:row>72</xdr:row>
      <xdr:rowOff>950722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6185475"/>
          <a:ext cx="1304925" cy="922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74</xdr:row>
      <xdr:rowOff>38100</xdr:rowOff>
    </xdr:from>
    <xdr:to>
      <xdr:col>0</xdr:col>
      <xdr:colOff>1676400</xdr:colOff>
      <xdr:row>74</xdr:row>
      <xdr:rowOff>940054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8214300"/>
          <a:ext cx="1276350" cy="901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381001</xdr:colOff>
      <xdr:row>24</xdr:row>
      <xdr:rowOff>38101</xdr:rowOff>
    </xdr:from>
    <xdr:to>
      <xdr:col>0</xdr:col>
      <xdr:colOff>1685925</xdr:colOff>
      <xdr:row>24</xdr:row>
      <xdr:rowOff>960247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5438776"/>
          <a:ext cx="1304924" cy="922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457201</xdr:colOff>
      <xdr:row>50</xdr:row>
      <xdr:rowOff>57151</xdr:rowOff>
    </xdr:from>
    <xdr:to>
      <xdr:col>0</xdr:col>
      <xdr:colOff>1809751</xdr:colOff>
      <xdr:row>51</xdr:row>
      <xdr:rowOff>3303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18707101"/>
          <a:ext cx="1352550" cy="955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817"/>
  <sheetViews>
    <sheetView tabSelected="1" topLeftCell="A7" zoomScaleNormal="100" workbookViewId="0">
      <selection activeCell="B8" sqref="B8"/>
    </sheetView>
  </sheetViews>
  <sheetFormatPr defaultRowHeight="12.75" x14ac:dyDescent="0.2"/>
  <cols>
    <col min="1" max="1" width="37.140625" customWidth="1"/>
    <col min="2" max="2" width="33.7109375" customWidth="1"/>
    <col min="3" max="3" width="15.28515625" customWidth="1"/>
    <col min="4" max="4" width="18.85546875" customWidth="1"/>
    <col min="5" max="5" width="8.5703125" style="95" customWidth="1"/>
    <col min="6" max="6" width="8.85546875" style="95" customWidth="1"/>
    <col min="7" max="7" width="9.28515625" style="95" customWidth="1"/>
    <col min="8" max="8" width="7.42578125" style="95" customWidth="1"/>
    <col min="9" max="9" width="7.85546875" style="95" customWidth="1"/>
    <col min="10" max="10" width="8" style="95" customWidth="1"/>
    <col min="11" max="11" width="8.140625" style="95" customWidth="1"/>
    <col min="12" max="12" width="8.5703125" style="95" customWidth="1"/>
    <col min="13" max="13" width="7.85546875" style="95" customWidth="1"/>
    <col min="14" max="14" width="30" style="95" customWidth="1"/>
    <col min="15" max="15" width="14" customWidth="1"/>
    <col min="16" max="16" width="32.140625" customWidth="1"/>
    <col min="17" max="17" width="8.28515625" customWidth="1"/>
    <col min="18" max="18" width="8.140625" customWidth="1"/>
    <col min="26" max="26" width="2.42578125" customWidth="1"/>
    <col min="27" max="27" width="2.85546875" customWidth="1"/>
    <col min="28" max="28" width="32.28515625" customWidth="1"/>
    <col min="29" max="29" width="15.42578125" customWidth="1"/>
    <col min="30" max="30" width="18.140625" customWidth="1"/>
    <col min="31" max="31" width="8.140625" customWidth="1"/>
    <col min="32" max="32" width="7.140625" customWidth="1"/>
    <col min="33" max="33" width="8" customWidth="1"/>
    <col min="35" max="35" width="8.28515625" customWidth="1"/>
    <col min="36" max="38" width="8" customWidth="1"/>
    <col min="39" max="39" width="7.85546875" customWidth="1"/>
    <col min="40" max="40" width="6.5703125" customWidth="1"/>
    <col min="41" max="41" width="24.5703125" customWidth="1"/>
    <col min="42" max="42" width="16" customWidth="1"/>
    <col min="43" max="43" width="19.5703125" customWidth="1"/>
    <col min="44" max="44" width="8.28515625" customWidth="1"/>
    <col min="45" max="45" width="7.85546875" customWidth="1"/>
    <col min="46" max="46" width="7.42578125" customWidth="1"/>
    <col min="47" max="47" width="7.7109375" customWidth="1"/>
    <col min="48" max="48" width="7.42578125" customWidth="1"/>
    <col min="49" max="49" width="7.85546875" customWidth="1"/>
    <col min="50" max="50" width="7.5703125" customWidth="1"/>
  </cols>
  <sheetData>
    <row r="1" spans="1:76" x14ac:dyDescent="0.2">
      <c r="F1" s="138" t="s">
        <v>11</v>
      </c>
      <c r="G1" s="138"/>
      <c r="H1" s="138"/>
      <c r="I1" s="138"/>
      <c r="J1" s="138"/>
    </row>
    <row r="2" spans="1:76" x14ac:dyDescent="0.2">
      <c r="F2" s="139" t="s">
        <v>194</v>
      </c>
      <c r="G2" s="139"/>
      <c r="H2" s="139"/>
      <c r="I2" s="139"/>
      <c r="J2" s="139"/>
    </row>
    <row r="3" spans="1:76" x14ac:dyDescent="0.2">
      <c r="F3" s="140" t="s">
        <v>199</v>
      </c>
      <c r="G3" s="141"/>
      <c r="H3" s="141"/>
      <c r="I3" s="141"/>
      <c r="J3" s="139"/>
    </row>
    <row r="4" spans="1:76" x14ac:dyDescent="0.2">
      <c r="F4" s="139" t="s">
        <v>195</v>
      </c>
      <c r="G4" s="139"/>
      <c r="H4" s="139"/>
      <c r="I4" s="139"/>
      <c r="J4" s="139"/>
    </row>
    <row r="5" spans="1:76" x14ac:dyDescent="0.2">
      <c r="F5" s="139" t="s">
        <v>196</v>
      </c>
      <c r="G5" s="139"/>
      <c r="H5" s="139"/>
      <c r="I5" s="139"/>
      <c r="J5" s="139"/>
    </row>
    <row r="6" spans="1:76" x14ac:dyDescent="0.2">
      <c r="F6" s="139" t="s">
        <v>197</v>
      </c>
      <c r="G6" s="139"/>
      <c r="H6" s="139"/>
      <c r="I6" s="139"/>
      <c r="J6" s="139"/>
    </row>
    <row r="7" spans="1:76" ht="15" customHeight="1" x14ac:dyDescent="0.2">
      <c r="F7" s="139" t="s">
        <v>200</v>
      </c>
      <c r="G7" s="139"/>
      <c r="H7" s="139"/>
      <c r="I7" s="139"/>
      <c r="J7" s="139"/>
    </row>
    <row r="8" spans="1:76" ht="14.25" customHeight="1" x14ac:dyDescent="0.3">
      <c r="A8" s="186" t="s">
        <v>203</v>
      </c>
      <c r="B8" s="132"/>
      <c r="C8" s="2"/>
      <c r="D8" s="2"/>
      <c r="E8" s="94"/>
      <c r="F8" s="139" t="s">
        <v>198</v>
      </c>
      <c r="G8" s="139"/>
      <c r="H8" s="139"/>
      <c r="I8" s="139"/>
      <c r="J8" s="139"/>
      <c r="K8" s="98"/>
      <c r="L8" s="98"/>
      <c r="M8" s="99"/>
      <c r="N8" s="67"/>
      <c r="O8" s="5"/>
      <c r="P8" s="5"/>
      <c r="Q8" s="5"/>
      <c r="R8" s="5"/>
      <c r="S8" s="3"/>
      <c r="T8" s="68"/>
      <c r="U8" s="69"/>
      <c r="V8" s="69"/>
      <c r="W8" s="70"/>
      <c r="X8" s="70"/>
      <c r="Y8" s="71"/>
      <c r="Z8" s="3"/>
      <c r="AA8" s="3"/>
      <c r="AB8" s="67"/>
      <c r="AC8" s="5"/>
      <c r="AD8" s="5"/>
      <c r="AE8" s="5"/>
      <c r="AF8" s="5"/>
      <c r="AG8" s="3"/>
      <c r="AH8" s="68"/>
      <c r="AI8" s="69"/>
      <c r="AJ8" s="69"/>
      <c r="AK8" s="70"/>
      <c r="AL8" s="70"/>
      <c r="AM8" s="71"/>
      <c r="AN8" s="3"/>
      <c r="AO8" s="67"/>
      <c r="AP8" s="5"/>
      <c r="AQ8" s="5"/>
      <c r="AR8" s="5"/>
      <c r="AS8" s="5"/>
      <c r="AT8" s="3"/>
      <c r="AU8" s="68"/>
      <c r="AV8" s="69"/>
      <c r="AW8" s="69"/>
      <c r="AX8" s="70"/>
      <c r="AY8" s="70"/>
      <c r="AZ8" s="71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</row>
    <row r="9" spans="1:76" ht="14.25" customHeight="1" x14ac:dyDescent="0.3">
      <c r="B9" s="132"/>
      <c r="C9" s="2"/>
      <c r="D9" s="2"/>
      <c r="E9" s="94"/>
      <c r="F9" s="94"/>
      <c r="H9" s="96"/>
      <c r="I9" s="97"/>
      <c r="J9" s="97"/>
      <c r="K9" s="98"/>
      <c r="L9" s="98"/>
      <c r="M9" s="99"/>
      <c r="N9" s="67"/>
      <c r="O9" s="5"/>
      <c r="P9" s="5"/>
      <c r="Q9" s="5"/>
      <c r="R9" s="5"/>
      <c r="S9" s="3"/>
      <c r="T9" s="68"/>
      <c r="U9" s="69"/>
      <c r="V9" s="69"/>
      <c r="W9" s="70"/>
      <c r="X9" s="70"/>
      <c r="Y9" s="71"/>
      <c r="Z9" s="3"/>
      <c r="AA9" s="3"/>
      <c r="AB9" s="67"/>
      <c r="AC9" s="5"/>
      <c r="AD9" s="5"/>
      <c r="AE9" s="5"/>
      <c r="AF9" s="5"/>
      <c r="AG9" s="3"/>
      <c r="AH9" s="68"/>
      <c r="AI9" s="69"/>
      <c r="AJ9" s="69"/>
      <c r="AK9" s="70"/>
      <c r="AL9" s="70"/>
      <c r="AM9" s="71"/>
      <c r="AN9" s="3"/>
      <c r="AO9" s="67"/>
      <c r="AP9" s="5"/>
      <c r="AQ9" s="5"/>
      <c r="AR9" s="5"/>
      <c r="AS9" s="5"/>
      <c r="AT9" s="3"/>
      <c r="AU9" s="68"/>
      <c r="AV9" s="69"/>
      <c r="AW9" s="69"/>
      <c r="AX9" s="70"/>
      <c r="AY9" s="70"/>
      <c r="AZ9" s="71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</row>
    <row r="10" spans="1:76" ht="15.75" customHeight="1" x14ac:dyDescent="0.3">
      <c r="B10" s="132"/>
      <c r="C10" s="2"/>
      <c r="D10" s="2"/>
      <c r="E10" s="94"/>
      <c r="F10" s="94"/>
      <c r="H10" s="96" t="s">
        <v>119</v>
      </c>
      <c r="I10" s="97" t="s">
        <v>201</v>
      </c>
      <c r="J10" s="97"/>
      <c r="K10" s="98"/>
      <c r="L10" s="98"/>
      <c r="M10" s="99"/>
      <c r="N10" s="67"/>
      <c r="O10" s="5"/>
      <c r="P10" s="5"/>
      <c r="Q10" s="5"/>
      <c r="R10" s="5"/>
      <c r="S10" s="3"/>
      <c r="T10" s="68"/>
      <c r="U10" s="69"/>
      <c r="V10" s="69"/>
      <c r="W10" s="70"/>
      <c r="X10" s="70"/>
      <c r="Y10" s="71"/>
      <c r="Z10" s="3"/>
      <c r="AA10" s="3"/>
      <c r="AB10" s="67"/>
      <c r="AC10" s="5"/>
      <c r="AD10" s="5"/>
      <c r="AE10" s="5"/>
      <c r="AF10" s="5"/>
      <c r="AG10" s="3"/>
      <c r="AH10" s="68"/>
      <c r="AI10" s="69"/>
      <c r="AJ10" s="69"/>
      <c r="AK10" s="70"/>
      <c r="AL10" s="70"/>
      <c r="AM10" s="71"/>
      <c r="AN10" s="3"/>
      <c r="AO10" s="67"/>
      <c r="AP10" s="5"/>
      <c r="AQ10" s="5"/>
      <c r="AR10" s="5"/>
      <c r="AS10" s="5"/>
      <c r="AT10" s="3"/>
      <c r="AU10" s="68"/>
      <c r="AV10" s="69"/>
      <c r="AW10" s="69"/>
      <c r="AX10" s="70"/>
      <c r="AY10" s="70"/>
      <c r="AZ10" s="71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</row>
    <row r="11" spans="1:76" ht="13.5" thickBot="1" x14ac:dyDescent="0.25">
      <c r="B11" s="2"/>
      <c r="C11" s="161" t="s">
        <v>11</v>
      </c>
      <c r="D11" s="162"/>
      <c r="E11" s="94"/>
      <c r="F11" s="94"/>
      <c r="G11" s="94"/>
      <c r="H11" s="99"/>
      <c r="I11" s="99" t="s">
        <v>165</v>
      </c>
      <c r="J11" s="99"/>
      <c r="K11" s="99"/>
      <c r="L11" s="99"/>
      <c r="M11" s="99"/>
      <c r="N11" s="5"/>
      <c r="O11" s="163"/>
      <c r="P11" s="163"/>
      <c r="Q11" s="5"/>
      <c r="R11" s="5"/>
      <c r="S11" s="5"/>
      <c r="T11" s="71"/>
      <c r="U11" s="71"/>
      <c r="V11" s="71"/>
      <c r="W11" s="71"/>
      <c r="X11" s="71"/>
      <c r="Y11" s="71"/>
      <c r="Z11" s="3"/>
      <c r="AA11" s="3"/>
      <c r="AB11" s="5"/>
      <c r="AC11" s="163"/>
      <c r="AD11" s="163"/>
      <c r="AE11" s="5"/>
      <c r="AF11" s="5"/>
      <c r="AG11" s="5"/>
      <c r="AH11" s="71"/>
      <c r="AI11" s="71"/>
      <c r="AJ11" s="71"/>
      <c r="AK11" s="71"/>
      <c r="AL11" s="71"/>
      <c r="AM11" s="71"/>
      <c r="AN11" s="3"/>
      <c r="AO11" s="5"/>
      <c r="AP11" s="163"/>
      <c r="AQ11" s="163"/>
      <c r="AR11" s="5"/>
      <c r="AS11" s="5"/>
      <c r="AT11" s="5"/>
      <c r="AU11" s="71"/>
      <c r="AV11" s="71"/>
      <c r="AW11" s="71"/>
      <c r="AX11" s="71"/>
      <c r="AY11" s="71"/>
      <c r="AZ11" s="71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</row>
    <row r="12" spans="1:76" ht="13.5" thickBot="1" x14ac:dyDescent="0.25">
      <c r="A12" s="181" t="s">
        <v>202</v>
      </c>
      <c r="B12" s="184" t="s">
        <v>0</v>
      </c>
      <c r="C12" s="143" t="s">
        <v>31</v>
      </c>
      <c r="D12" s="164" t="s">
        <v>1</v>
      </c>
      <c r="E12" s="65"/>
      <c r="F12" s="4"/>
      <c r="G12" s="4"/>
      <c r="H12" s="4"/>
      <c r="I12" s="4"/>
      <c r="J12" s="4"/>
      <c r="K12" s="4"/>
      <c r="L12" s="4"/>
      <c r="M12" s="4"/>
      <c r="N12" s="159"/>
      <c r="O12" s="90"/>
      <c r="P12" s="160"/>
      <c r="Q12" s="65"/>
      <c r="R12" s="4"/>
      <c r="S12" s="4"/>
      <c r="T12" s="4"/>
      <c r="U12" s="4"/>
      <c r="V12" s="4"/>
      <c r="W12" s="4"/>
      <c r="X12" s="4"/>
      <c r="Y12" s="4"/>
      <c r="Z12" s="3"/>
      <c r="AA12" s="3"/>
      <c r="AB12" s="159"/>
      <c r="AC12" s="90"/>
      <c r="AD12" s="160"/>
      <c r="AE12" s="65"/>
      <c r="AF12" s="4"/>
      <c r="AG12" s="4"/>
      <c r="AH12" s="4"/>
      <c r="AI12" s="4"/>
      <c r="AJ12" s="4"/>
      <c r="AK12" s="4"/>
      <c r="AL12" s="4"/>
      <c r="AM12" s="4"/>
      <c r="AN12" s="3"/>
      <c r="AO12" s="159"/>
      <c r="AP12" s="90"/>
      <c r="AQ12" s="160"/>
      <c r="AR12" s="65"/>
      <c r="AS12" s="4"/>
      <c r="AT12" s="4"/>
      <c r="AU12" s="4"/>
      <c r="AV12" s="4"/>
      <c r="AW12" s="4"/>
      <c r="AX12" s="4"/>
      <c r="AY12" s="4"/>
      <c r="AZ12" s="4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</row>
    <row r="13" spans="1:76" ht="13.5" thickBot="1" x14ac:dyDescent="0.25">
      <c r="A13" s="182"/>
      <c r="B13" s="185"/>
      <c r="C13" s="136" t="s">
        <v>30</v>
      </c>
      <c r="D13" s="164"/>
      <c r="E13" s="100">
        <v>1</v>
      </c>
      <c r="F13" s="101">
        <v>2</v>
      </c>
      <c r="G13" s="101">
        <v>3</v>
      </c>
      <c r="H13" s="101">
        <v>4</v>
      </c>
      <c r="I13" s="101">
        <v>5</v>
      </c>
      <c r="J13" s="101">
        <v>6</v>
      </c>
      <c r="K13" s="101">
        <v>7</v>
      </c>
      <c r="L13" s="101">
        <v>8</v>
      </c>
      <c r="M13" s="102">
        <v>9</v>
      </c>
      <c r="N13" s="159"/>
      <c r="O13" s="90"/>
      <c r="P13" s="160"/>
      <c r="Q13" s="91"/>
      <c r="R13" s="91"/>
      <c r="S13" s="91"/>
      <c r="T13" s="91"/>
      <c r="U13" s="91"/>
      <c r="V13" s="91"/>
      <c r="W13" s="91"/>
      <c r="X13" s="91"/>
      <c r="Y13" s="91"/>
      <c r="Z13" s="3"/>
      <c r="AA13" s="3"/>
      <c r="AB13" s="159"/>
      <c r="AC13" s="90"/>
      <c r="AD13" s="160"/>
      <c r="AE13" s="91"/>
      <c r="AF13" s="91"/>
      <c r="AG13" s="91"/>
      <c r="AH13" s="91"/>
      <c r="AI13" s="91"/>
      <c r="AJ13" s="91"/>
      <c r="AK13" s="91"/>
      <c r="AL13" s="91"/>
      <c r="AM13" s="91"/>
      <c r="AN13" s="3"/>
      <c r="AO13" s="159"/>
      <c r="AP13" s="90"/>
      <c r="AQ13" s="160"/>
      <c r="AR13" s="91"/>
      <c r="AS13" s="91"/>
      <c r="AT13" s="91"/>
      <c r="AU13" s="91"/>
      <c r="AV13" s="91"/>
      <c r="AW13" s="91"/>
      <c r="AX13" s="91"/>
      <c r="AY13" s="91"/>
      <c r="AZ13" s="91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</row>
    <row r="14" spans="1:76" ht="13.5" thickBot="1" x14ac:dyDescent="0.25">
      <c r="A14" s="183"/>
      <c r="B14" s="158"/>
      <c r="C14" s="142" t="s">
        <v>32</v>
      </c>
      <c r="D14" s="84" t="s">
        <v>90</v>
      </c>
      <c r="E14" s="85"/>
      <c r="F14" s="86"/>
      <c r="G14" s="86"/>
      <c r="H14" s="86"/>
      <c r="I14" s="86"/>
      <c r="J14" s="86"/>
      <c r="K14" s="86"/>
      <c r="L14" s="86"/>
      <c r="M14" s="87"/>
      <c r="N14" s="72"/>
      <c r="O14" s="90"/>
      <c r="P14" s="66"/>
      <c r="Q14" s="66"/>
      <c r="R14" s="6"/>
      <c r="S14" s="6"/>
      <c r="T14" s="6"/>
      <c r="U14" s="6"/>
      <c r="V14" s="6"/>
      <c r="W14" s="6"/>
      <c r="X14" s="6"/>
      <c r="Y14" s="6"/>
      <c r="Z14" s="3"/>
      <c r="AA14" s="3"/>
      <c r="AB14" s="72"/>
      <c r="AC14" s="90"/>
      <c r="AD14" s="66"/>
      <c r="AE14" s="66"/>
      <c r="AF14" s="6"/>
      <c r="AG14" s="6"/>
      <c r="AH14" s="6"/>
      <c r="AI14" s="6"/>
      <c r="AJ14" s="6"/>
      <c r="AK14" s="6"/>
      <c r="AL14" s="6"/>
      <c r="AM14" s="6"/>
      <c r="AN14" s="3"/>
      <c r="AO14" s="72"/>
      <c r="AP14" s="90"/>
      <c r="AQ14" s="66"/>
      <c r="AR14" s="66"/>
      <c r="AS14" s="6"/>
      <c r="AT14" s="6"/>
      <c r="AU14" s="6"/>
      <c r="AV14" s="6"/>
      <c r="AW14" s="6"/>
      <c r="AX14" s="6"/>
      <c r="AY14" s="6"/>
      <c r="AZ14" s="6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</row>
    <row r="15" spans="1:76" ht="20.100000000000001" customHeight="1" x14ac:dyDescent="0.2">
      <c r="A15" s="156"/>
      <c r="B15" s="152" t="s">
        <v>121</v>
      </c>
      <c r="C15" s="133" t="s">
        <v>109</v>
      </c>
      <c r="D15" s="134" t="s">
        <v>12</v>
      </c>
      <c r="E15" s="103">
        <v>2658.5</v>
      </c>
      <c r="F15" s="103">
        <v>2806.7000000000003</v>
      </c>
      <c r="G15" s="103">
        <v>2954.9</v>
      </c>
      <c r="H15" s="103">
        <v>3029</v>
      </c>
      <c r="I15" s="103">
        <v>3139.5</v>
      </c>
      <c r="J15" s="103">
        <v>3213.6</v>
      </c>
      <c r="K15" s="103">
        <v>3361.8</v>
      </c>
      <c r="L15" s="103">
        <v>3547.7000000000003</v>
      </c>
      <c r="M15" s="103">
        <v>3695.9</v>
      </c>
      <c r="N15" s="73"/>
      <c r="O15" s="74"/>
      <c r="P15" s="75"/>
      <c r="Q15" s="15"/>
      <c r="R15" s="15"/>
      <c r="S15" s="15"/>
      <c r="T15" s="15"/>
      <c r="U15" s="15"/>
      <c r="V15" s="15"/>
      <c r="W15" s="15"/>
      <c r="X15" s="15"/>
      <c r="Y15" s="15"/>
      <c r="Z15" s="3"/>
      <c r="AA15" s="3"/>
      <c r="AB15" s="73"/>
      <c r="AC15" s="74"/>
      <c r="AD15" s="75"/>
      <c r="AE15" s="15"/>
      <c r="AF15" s="15"/>
      <c r="AG15" s="15"/>
      <c r="AH15" s="15"/>
      <c r="AI15" s="15"/>
      <c r="AJ15" s="15"/>
      <c r="AK15" s="15"/>
      <c r="AL15" s="15"/>
      <c r="AM15" s="15"/>
      <c r="AN15" s="3"/>
      <c r="AO15" s="73"/>
      <c r="AP15" s="74"/>
      <c r="AQ15" s="75"/>
      <c r="AR15" s="15"/>
      <c r="AS15" s="15"/>
      <c r="AT15" s="15"/>
      <c r="AU15" s="15"/>
      <c r="AV15" s="15"/>
      <c r="AW15" s="15"/>
      <c r="AX15" s="15"/>
      <c r="AY15" s="15"/>
      <c r="AZ15" s="15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</row>
    <row r="16" spans="1:76" ht="20.100000000000001" customHeight="1" x14ac:dyDescent="0.2">
      <c r="A16" s="157"/>
      <c r="B16" s="150" t="s">
        <v>122</v>
      </c>
      <c r="C16" s="133" t="s">
        <v>110</v>
      </c>
      <c r="D16" s="134" t="s">
        <v>2</v>
      </c>
      <c r="E16" s="103">
        <v>2687.1</v>
      </c>
      <c r="F16" s="103">
        <v>2835.3</v>
      </c>
      <c r="G16" s="103">
        <v>2983.5</v>
      </c>
      <c r="H16" s="103">
        <v>3057.6</v>
      </c>
      <c r="I16" s="103">
        <v>3169.4</v>
      </c>
      <c r="J16" s="103">
        <v>3243.5</v>
      </c>
      <c r="K16" s="103">
        <v>3391.7000000000003</v>
      </c>
      <c r="L16" s="103">
        <v>3576.3</v>
      </c>
      <c r="M16" s="103">
        <v>3724.5</v>
      </c>
      <c r="N16" s="73"/>
      <c r="O16" s="74"/>
      <c r="P16" s="75"/>
      <c r="Q16" s="15"/>
      <c r="R16" s="15"/>
      <c r="S16" s="15"/>
      <c r="T16" s="15"/>
      <c r="U16" s="15"/>
      <c r="V16" s="15"/>
      <c r="W16" s="15"/>
      <c r="X16" s="15"/>
      <c r="Y16" s="15"/>
      <c r="Z16" s="3"/>
      <c r="AA16" s="3"/>
      <c r="AB16" s="73"/>
      <c r="AC16" s="74"/>
      <c r="AD16" s="75"/>
      <c r="AE16" s="15"/>
      <c r="AF16" s="15"/>
      <c r="AG16" s="15"/>
      <c r="AH16" s="15"/>
      <c r="AI16" s="15"/>
      <c r="AJ16" s="15"/>
      <c r="AK16" s="15"/>
      <c r="AL16" s="15"/>
      <c r="AM16" s="15"/>
      <c r="AN16" s="3"/>
      <c r="AO16" s="73"/>
      <c r="AP16" s="74"/>
      <c r="AQ16" s="75"/>
      <c r="AR16" s="15"/>
      <c r="AS16" s="15"/>
      <c r="AT16" s="15"/>
      <c r="AU16" s="15"/>
      <c r="AV16" s="15"/>
      <c r="AW16" s="15"/>
      <c r="AX16" s="15"/>
      <c r="AY16" s="15"/>
      <c r="AZ16" s="15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</row>
    <row r="17" spans="1:76" ht="20.100000000000001" customHeight="1" x14ac:dyDescent="0.2">
      <c r="A17" s="157"/>
      <c r="B17" s="150" t="s">
        <v>123</v>
      </c>
      <c r="C17" s="133" t="s">
        <v>111</v>
      </c>
      <c r="D17" s="134" t="s">
        <v>3</v>
      </c>
      <c r="E17" s="103">
        <v>2822.3</v>
      </c>
      <c r="F17" s="103">
        <v>2980.9</v>
      </c>
      <c r="G17" s="103">
        <v>3139.5</v>
      </c>
      <c r="H17" s="103">
        <v>3218.8</v>
      </c>
      <c r="I17" s="103">
        <v>3338.4</v>
      </c>
      <c r="J17" s="103">
        <v>3417.7000000000003</v>
      </c>
      <c r="K17" s="103">
        <v>3576.3</v>
      </c>
      <c r="L17" s="103">
        <v>3773.9</v>
      </c>
      <c r="M17" s="103">
        <v>3932.5</v>
      </c>
      <c r="N17" s="73"/>
      <c r="O17" s="74"/>
      <c r="P17" s="75"/>
      <c r="Q17" s="15"/>
      <c r="R17" s="15"/>
      <c r="S17" s="15"/>
      <c r="T17" s="15"/>
      <c r="U17" s="15"/>
      <c r="V17" s="15"/>
      <c r="W17" s="15"/>
      <c r="X17" s="15"/>
      <c r="Y17" s="15"/>
      <c r="Z17" s="3"/>
      <c r="AA17" s="3"/>
      <c r="AB17" s="73"/>
      <c r="AC17" s="74"/>
      <c r="AD17" s="75"/>
      <c r="AE17" s="15"/>
      <c r="AF17" s="15"/>
      <c r="AG17" s="15"/>
      <c r="AH17" s="15"/>
      <c r="AI17" s="15"/>
      <c r="AJ17" s="15"/>
      <c r="AK17" s="15"/>
      <c r="AL17" s="15"/>
      <c r="AM17" s="15"/>
      <c r="AN17" s="3"/>
      <c r="AO17" s="73"/>
      <c r="AP17" s="74"/>
      <c r="AQ17" s="75"/>
      <c r="AR17" s="15"/>
      <c r="AS17" s="15"/>
      <c r="AT17" s="15"/>
      <c r="AU17" s="15"/>
      <c r="AV17" s="15"/>
      <c r="AW17" s="15"/>
      <c r="AX17" s="15"/>
      <c r="AY17" s="15"/>
      <c r="AZ17" s="15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</row>
    <row r="18" spans="1:76" ht="20.100000000000001" customHeight="1" thickBot="1" x14ac:dyDescent="0.25">
      <c r="A18" s="158"/>
      <c r="B18" s="150" t="s">
        <v>124</v>
      </c>
      <c r="C18" s="133" t="s">
        <v>112</v>
      </c>
      <c r="D18" s="134" t="s">
        <v>4</v>
      </c>
      <c r="E18" s="103">
        <v>3136.9</v>
      </c>
      <c r="F18" s="103">
        <v>3308.5</v>
      </c>
      <c r="G18" s="103">
        <v>3480.1</v>
      </c>
      <c r="H18" s="103">
        <v>3565.9</v>
      </c>
      <c r="I18" s="103">
        <v>3694.6</v>
      </c>
      <c r="J18" s="103">
        <v>3780.4</v>
      </c>
      <c r="K18" s="103">
        <v>3952</v>
      </c>
      <c r="L18" s="103">
        <v>4166.5</v>
      </c>
      <c r="M18" s="103">
        <v>4338.1000000000004</v>
      </c>
      <c r="N18" s="73"/>
      <c r="O18" s="74"/>
      <c r="P18" s="75"/>
      <c r="Q18" s="15"/>
      <c r="R18" s="15"/>
      <c r="S18" s="15"/>
      <c r="T18" s="15"/>
      <c r="U18" s="15"/>
      <c r="V18" s="15"/>
      <c r="W18" s="15"/>
      <c r="X18" s="15"/>
      <c r="Y18" s="15"/>
      <c r="Z18" s="3"/>
      <c r="AA18" s="3"/>
      <c r="AB18" s="73"/>
      <c r="AC18" s="74"/>
      <c r="AD18" s="75"/>
      <c r="AE18" s="15"/>
      <c r="AF18" s="15"/>
      <c r="AG18" s="15"/>
      <c r="AH18" s="15"/>
      <c r="AI18" s="15"/>
      <c r="AJ18" s="15"/>
      <c r="AK18" s="15"/>
      <c r="AL18" s="15"/>
      <c r="AM18" s="15"/>
      <c r="AN18" s="3"/>
      <c r="AO18" s="73"/>
      <c r="AP18" s="74"/>
      <c r="AQ18" s="75"/>
      <c r="AR18" s="15"/>
      <c r="AS18" s="15"/>
      <c r="AT18" s="15"/>
      <c r="AU18" s="15"/>
      <c r="AV18" s="15"/>
      <c r="AW18" s="15"/>
      <c r="AX18" s="15"/>
      <c r="AY18" s="15"/>
      <c r="AZ18" s="15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</row>
    <row r="19" spans="1:76" ht="20.100000000000001" customHeight="1" x14ac:dyDescent="0.2">
      <c r="A19" s="156"/>
      <c r="B19" s="134" t="s">
        <v>125</v>
      </c>
      <c r="C19" s="133" t="s">
        <v>109</v>
      </c>
      <c r="D19" s="134" t="s">
        <v>116</v>
      </c>
      <c r="E19" s="103">
        <v>2830.1</v>
      </c>
      <c r="F19" s="103">
        <v>2988.7000000000003</v>
      </c>
      <c r="G19" s="103">
        <v>3147.3</v>
      </c>
      <c r="H19" s="103">
        <v>3226.6</v>
      </c>
      <c r="I19" s="103">
        <v>3344.9</v>
      </c>
      <c r="J19" s="103">
        <v>3424.2000000000003</v>
      </c>
      <c r="K19" s="103">
        <v>3582.8</v>
      </c>
      <c r="L19" s="103">
        <v>3781.7000000000003</v>
      </c>
      <c r="M19" s="103">
        <v>3940.3</v>
      </c>
      <c r="N19" s="73"/>
      <c r="O19" s="74"/>
      <c r="P19" s="75"/>
      <c r="Q19" s="15"/>
      <c r="R19" s="15"/>
      <c r="S19" s="15"/>
      <c r="T19" s="15"/>
      <c r="U19" s="15"/>
      <c r="V19" s="15"/>
      <c r="W19" s="15"/>
      <c r="X19" s="15"/>
      <c r="Y19" s="15"/>
      <c r="Z19" s="3"/>
      <c r="AA19" s="3"/>
      <c r="AB19" s="73"/>
      <c r="AC19" s="74"/>
      <c r="AD19" s="75"/>
      <c r="AE19" s="15"/>
      <c r="AF19" s="15"/>
      <c r="AG19" s="15"/>
      <c r="AH19" s="15"/>
      <c r="AI19" s="15"/>
      <c r="AJ19" s="15"/>
      <c r="AK19" s="15"/>
      <c r="AL19" s="15"/>
      <c r="AM19" s="15"/>
      <c r="AN19" s="3"/>
      <c r="AO19" s="73"/>
      <c r="AP19" s="74"/>
      <c r="AQ19" s="75"/>
      <c r="AR19" s="15"/>
      <c r="AS19" s="15"/>
      <c r="AT19" s="15"/>
      <c r="AU19" s="15"/>
      <c r="AV19" s="15"/>
      <c r="AW19" s="15"/>
      <c r="AX19" s="15"/>
      <c r="AY19" s="15"/>
      <c r="AZ19" s="15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</row>
    <row r="20" spans="1:76" ht="20.100000000000001" customHeight="1" x14ac:dyDescent="0.2">
      <c r="A20" s="157"/>
      <c r="B20" s="134" t="s">
        <v>126</v>
      </c>
      <c r="C20" s="133" t="s">
        <v>110</v>
      </c>
      <c r="D20" s="134" t="s">
        <v>5</v>
      </c>
      <c r="E20" s="103">
        <v>2896.4</v>
      </c>
      <c r="F20" s="103">
        <v>3060.2000000000003</v>
      </c>
      <c r="G20" s="103">
        <v>3224</v>
      </c>
      <c r="H20" s="103">
        <v>3305.9</v>
      </c>
      <c r="I20" s="103">
        <v>3429.4</v>
      </c>
      <c r="J20" s="103">
        <v>3511.3</v>
      </c>
      <c r="K20" s="103">
        <v>3675.1</v>
      </c>
      <c r="L20" s="103">
        <v>3879.2000000000003</v>
      </c>
      <c r="M20" s="103">
        <v>4043</v>
      </c>
      <c r="N20" s="73"/>
      <c r="O20" s="74"/>
      <c r="P20" s="75"/>
      <c r="Q20" s="15"/>
      <c r="R20" s="15"/>
      <c r="S20" s="15"/>
      <c r="T20" s="15"/>
      <c r="U20" s="15"/>
      <c r="V20" s="15"/>
      <c r="W20" s="15"/>
      <c r="X20" s="15"/>
      <c r="Y20" s="15"/>
      <c r="Z20" s="3"/>
      <c r="AA20" s="3"/>
      <c r="AB20" s="73"/>
      <c r="AC20" s="74"/>
      <c r="AD20" s="75"/>
      <c r="AE20" s="15"/>
      <c r="AF20" s="15"/>
      <c r="AG20" s="15"/>
      <c r="AH20" s="15"/>
      <c r="AI20" s="15"/>
      <c r="AJ20" s="15"/>
      <c r="AK20" s="15"/>
      <c r="AL20" s="15"/>
      <c r="AM20" s="15"/>
      <c r="AN20" s="3"/>
      <c r="AO20" s="73"/>
      <c r="AP20" s="74"/>
      <c r="AQ20" s="75"/>
      <c r="AR20" s="15"/>
      <c r="AS20" s="15"/>
      <c r="AT20" s="15"/>
      <c r="AU20" s="15"/>
      <c r="AV20" s="15"/>
      <c r="AW20" s="15"/>
      <c r="AX20" s="15"/>
      <c r="AY20" s="15"/>
      <c r="AZ20" s="15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</row>
    <row r="21" spans="1:76" ht="20.100000000000001" customHeight="1" x14ac:dyDescent="0.2">
      <c r="A21" s="157"/>
      <c r="B21" s="134" t="s">
        <v>127</v>
      </c>
      <c r="C21" s="133" t="s">
        <v>111</v>
      </c>
      <c r="D21" s="134" t="s">
        <v>6</v>
      </c>
      <c r="E21" s="103">
        <v>2966.6</v>
      </c>
      <c r="F21" s="103">
        <v>3140.8</v>
      </c>
      <c r="G21" s="103">
        <v>3315</v>
      </c>
      <c r="H21" s="103">
        <v>3402.1</v>
      </c>
      <c r="I21" s="103">
        <v>3532.1</v>
      </c>
      <c r="J21" s="103">
        <v>3619.2000000000003</v>
      </c>
      <c r="K21" s="103">
        <v>3793.4</v>
      </c>
      <c r="L21" s="103">
        <v>4011.8</v>
      </c>
      <c r="M21" s="103">
        <v>4186</v>
      </c>
      <c r="N21" s="73"/>
      <c r="O21" s="74"/>
      <c r="P21" s="75"/>
      <c r="Q21" s="15"/>
      <c r="R21" s="15"/>
      <c r="S21" s="15"/>
      <c r="T21" s="15"/>
      <c r="U21" s="15"/>
      <c r="V21" s="15"/>
      <c r="W21" s="15"/>
      <c r="X21" s="15"/>
      <c r="Y21" s="15"/>
      <c r="Z21" s="3"/>
      <c r="AA21" s="3"/>
      <c r="AB21" s="73"/>
      <c r="AC21" s="74"/>
      <c r="AD21" s="75"/>
      <c r="AE21" s="15"/>
      <c r="AF21" s="15"/>
      <c r="AG21" s="15"/>
      <c r="AH21" s="15"/>
      <c r="AI21" s="15"/>
      <c r="AJ21" s="15"/>
      <c r="AK21" s="15"/>
      <c r="AL21" s="15"/>
      <c r="AM21" s="15"/>
      <c r="AN21" s="3"/>
      <c r="AO21" s="73"/>
      <c r="AP21" s="74"/>
      <c r="AQ21" s="75"/>
      <c r="AR21" s="15"/>
      <c r="AS21" s="15"/>
      <c r="AT21" s="15"/>
      <c r="AU21" s="15"/>
      <c r="AV21" s="15"/>
      <c r="AW21" s="15"/>
      <c r="AX21" s="15"/>
      <c r="AY21" s="15"/>
      <c r="AZ21" s="15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</row>
    <row r="22" spans="1:76" ht="20.100000000000001" customHeight="1" thickBot="1" x14ac:dyDescent="0.25">
      <c r="A22" s="158"/>
      <c r="B22" s="134" t="s">
        <v>128</v>
      </c>
      <c r="C22" s="133" t="s">
        <v>112</v>
      </c>
      <c r="D22" s="134" t="s">
        <v>13</v>
      </c>
      <c r="E22" s="103">
        <v>3205.8</v>
      </c>
      <c r="F22" s="103">
        <v>3387.8</v>
      </c>
      <c r="G22" s="103">
        <v>3569.8</v>
      </c>
      <c r="H22" s="103">
        <v>3660.8</v>
      </c>
      <c r="I22" s="103">
        <v>3797.3</v>
      </c>
      <c r="J22" s="103">
        <v>3888.3</v>
      </c>
      <c r="K22" s="103">
        <v>4070.3</v>
      </c>
      <c r="L22" s="103">
        <v>4297.8</v>
      </c>
      <c r="M22" s="103">
        <v>4479.8</v>
      </c>
      <c r="N22" s="73"/>
      <c r="O22" s="74"/>
      <c r="P22" s="75"/>
      <c r="Q22" s="15"/>
      <c r="R22" s="15"/>
      <c r="S22" s="15"/>
      <c r="T22" s="15"/>
      <c r="U22" s="15"/>
      <c r="V22" s="15"/>
      <c r="W22" s="15"/>
      <c r="X22" s="15"/>
      <c r="Y22" s="15"/>
      <c r="Z22" s="3"/>
      <c r="AA22" s="3"/>
      <c r="AB22" s="73"/>
      <c r="AC22" s="74"/>
      <c r="AD22" s="75"/>
      <c r="AE22" s="15"/>
      <c r="AF22" s="15"/>
      <c r="AG22" s="15"/>
      <c r="AH22" s="15"/>
      <c r="AI22" s="15"/>
      <c r="AJ22" s="15"/>
      <c r="AK22" s="15"/>
      <c r="AL22" s="15"/>
      <c r="AM22" s="15"/>
      <c r="AN22" s="3"/>
      <c r="AO22" s="73"/>
      <c r="AP22" s="74"/>
      <c r="AQ22" s="75"/>
      <c r="AR22" s="15"/>
      <c r="AS22" s="15"/>
      <c r="AT22" s="15"/>
      <c r="AU22" s="15"/>
      <c r="AV22" s="15"/>
      <c r="AW22" s="15"/>
      <c r="AX22" s="15"/>
      <c r="AY22" s="15"/>
      <c r="AZ22" s="15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</row>
    <row r="23" spans="1:76" ht="39.950000000000003" customHeight="1" x14ac:dyDescent="0.2">
      <c r="A23" s="156"/>
      <c r="B23" s="150" t="s">
        <v>187</v>
      </c>
      <c r="C23" s="133" t="s">
        <v>189</v>
      </c>
      <c r="D23" s="134" t="s">
        <v>190</v>
      </c>
      <c r="E23" s="103">
        <v>4279.6000000000004</v>
      </c>
      <c r="F23" s="103">
        <v>4362.8</v>
      </c>
      <c r="G23" s="103">
        <v>4446</v>
      </c>
      <c r="H23" s="103">
        <v>4487.6000000000004</v>
      </c>
      <c r="I23" s="103">
        <v>4550</v>
      </c>
      <c r="J23" s="103">
        <v>4591.6000000000004</v>
      </c>
      <c r="K23" s="103">
        <v>4674.8</v>
      </c>
      <c r="L23" s="103">
        <v>4778.8</v>
      </c>
      <c r="M23" s="103">
        <v>4862</v>
      </c>
      <c r="N23" s="73"/>
      <c r="O23" s="74"/>
      <c r="P23" s="75"/>
      <c r="Q23" s="15"/>
      <c r="R23" s="15"/>
      <c r="S23" s="15"/>
      <c r="T23" s="15"/>
      <c r="U23" s="15"/>
      <c r="V23" s="15"/>
      <c r="W23" s="15"/>
      <c r="X23" s="15"/>
      <c r="Y23" s="15"/>
      <c r="Z23" s="3"/>
      <c r="AA23" s="3"/>
      <c r="AB23" s="73"/>
      <c r="AC23" s="74"/>
      <c r="AD23" s="75"/>
      <c r="AE23" s="15"/>
      <c r="AF23" s="15"/>
      <c r="AG23" s="15"/>
      <c r="AH23" s="15"/>
      <c r="AI23" s="15"/>
      <c r="AJ23" s="15"/>
      <c r="AK23" s="15"/>
      <c r="AL23" s="15"/>
      <c r="AM23" s="15"/>
      <c r="AN23" s="3"/>
      <c r="AO23" s="73"/>
      <c r="AP23" s="74"/>
      <c r="AQ23" s="75"/>
      <c r="AR23" s="15"/>
      <c r="AS23" s="15"/>
      <c r="AT23" s="15"/>
      <c r="AU23" s="15"/>
      <c r="AV23" s="15"/>
      <c r="AW23" s="15"/>
      <c r="AX23" s="15"/>
      <c r="AY23" s="15"/>
      <c r="AZ23" s="15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</row>
    <row r="24" spans="1:76" ht="39.950000000000003" customHeight="1" thickBot="1" x14ac:dyDescent="0.25">
      <c r="A24" s="158"/>
      <c r="B24" s="150" t="s">
        <v>188</v>
      </c>
      <c r="C24" s="133" t="s">
        <v>177</v>
      </c>
      <c r="D24" s="134" t="s">
        <v>191</v>
      </c>
      <c r="E24" s="103">
        <v>4279.6000000000004</v>
      </c>
      <c r="F24" s="103">
        <v>4362.8</v>
      </c>
      <c r="G24" s="103">
        <v>4446</v>
      </c>
      <c r="H24" s="103">
        <v>4487.6000000000004</v>
      </c>
      <c r="I24" s="103">
        <v>4550</v>
      </c>
      <c r="J24" s="103">
        <v>4591.6000000000004</v>
      </c>
      <c r="K24" s="103">
        <v>4674.8</v>
      </c>
      <c r="L24" s="103">
        <v>4778.8</v>
      </c>
      <c r="M24" s="103">
        <v>4862</v>
      </c>
      <c r="N24" s="73"/>
      <c r="O24" s="74"/>
      <c r="P24" s="75"/>
      <c r="Q24" s="15"/>
      <c r="R24" s="15"/>
      <c r="S24" s="15"/>
      <c r="T24" s="15"/>
      <c r="U24" s="15"/>
      <c r="V24" s="15"/>
      <c r="W24" s="15"/>
      <c r="X24" s="15"/>
      <c r="Y24" s="15"/>
      <c r="Z24" s="3"/>
      <c r="AA24" s="3"/>
      <c r="AB24" s="73"/>
      <c r="AC24" s="74"/>
      <c r="AD24" s="75"/>
      <c r="AE24" s="15"/>
      <c r="AF24" s="15"/>
      <c r="AG24" s="15"/>
      <c r="AH24" s="15"/>
      <c r="AI24" s="15"/>
      <c r="AJ24" s="15"/>
      <c r="AK24" s="15"/>
      <c r="AL24" s="15"/>
      <c r="AM24" s="15"/>
      <c r="AN24" s="3"/>
      <c r="AO24" s="73"/>
      <c r="AP24" s="74"/>
      <c r="AQ24" s="75"/>
      <c r="AR24" s="15"/>
      <c r="AS24" s="15"/>
      <c r="AT24" s="15"/>
      <c r="AU24" s="15"/>
      <c r="AV24" s="15"/>
      <c r="AW24" s="15"/>
      <c r="AX24" s="15"/>
      <c r="AY24" s="15"/>
      <c r="AZ24" s="15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</row>
    <row r="25" spans="1:76" ht="80.099999999999994" customHeight="1" thickBot="1" x14ac:dyDescent="0.25">
      <c r="A25" s="151"/>
      <c r="B25" s="150" t="s">
        <v>129</v>
      </c>
      <c r="C25" s="133" t="s">
        <v>113</v>
      </c>
      <c r="D25" s="134" t="s">
        <v>74</v>
      </c>
      <c r="E25" s="103">
        <v>2264.6</v>
      </c>
      <c r="F25" s="103">
        <v>2397.2000000000003</v>
      </c>
      <c r="G25" s="103">
        <v>2529.8000000000002</v>
      </c>
      <c r="H25" s="103">
        <v>2596.1</v>
      </c>
      <c r="I25" s="103">
        <v>2696.2000000000003</v>
      </c>
      <c r="J25" s="103">
        <v>2762.5</v>
      </c>
      <c r="K25" s="103">
        <v>2895.1</v>
      </c>
      <c r="L25" s="103">
        <v>3060.2000000000003</v>
      </c>
      <c r="M25" s="103">
        <v>3192.8</v>
      </c>
      <c r="N25" s="73"/>
      <c r="O25" s="74"/>
      <c r="P25" s="75"/>
      <c r="Q25" s="15"/>
      <c r="R25" s="15"/>
      <c r="S25" s="15"/>
      <c r="T25" s="15"/>
      <c r="U25" s="15"/>
      <c r="V25" s="15"/>
      <c r="W25" s="15"/>
      <c r="X25" s="15"/>
      <c r="Y25" s="15"/>
      <c r="Z25" s="3"/>
      <c r="AA25" s="3"/>
      <c r="AB25" s="73"/>
      <c r="AC25" s="74"/>
      <c r="AD25" s="75"/>
      <c r="AE25" s="15"/>
      <c r="AF25" s="15"/>
      <c r="AG25" s="15"/>
      <c r="AH25" s="15"/>
      <c r="AI25" s="15"/>
      <c r="AJ25" s="15"/>
      <c r="AK25" s="15"/>
      <c r="AL25" s="15"/>
      <c r="AM25" s="15"/>
      <c r="AN25" s="3"/>
      <c r="AO25" s="73"/>
      <c r="AP25" s="74"/>
      <c r="AQ25" s="75"/>
      <c r="AR25" s="15"/>
      <c r="AS25" s="15"/>
      <c r="AT25" s="15"/>
      <c r="AU25" s="15"/>
      <c r="AV25" s="15"/>
      <c r="AW25" s="15"/>
      <c r="AX25" s="15"/>
      <c r="AY25" s="15"/>
      <c r="AZ25" s="15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</row>
    <row r="26" spans="1:76" ht="78.75" customHeight="1" thickBot="1" x14ac:dyDescent="0.25">
      <c r="A26" s="145"/>
      <c r="B26" s="144" t="s">
        <v>19</v>
      </c>
      <c r="C26" s="133" t="s">
        <v>65</v>
      </c>
      <c r="D26" s="135" t="s">
        <v>24</v>
      </c>
      <c r="E26" s="103">
        <v>2602.6</v>
      </c>
      <c r="F26" s="103">
        <v>2774.2000000000003</v>
      </c>
      <c r="G26" s="103">
        <v>2945.8</v>
      </c>
      <c r="H26" s="103">
        <v>3031.6</v>
      </c>
      <c r="I26" s="103">
        <v>3160.3</v>
      </c>
      <c r="J26" s="103">
        <v>3246.1</v>
      </c>
      <c r="K26" s="103">
        <v>3417.7000000000003</v>
      </c>
      <c r="L26" s="103">
        <v>3632.2000000000003</v>
      </c>
      <c r="M26" s="103">
        <v>3803.8</v>
      </c>
      <c r="N26" s="76"/>
      <c r="O26" s="74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3"/>
      <c r="AA26" s="3"/>
      <c r="AB26" s="76"/>
      <c r="AC26" s="74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3"/>
      <c r="AO26" s="73"/>
      <c r="AP26" s="74"/>
      <c r="AQ26" s="75"/>
      <c r="AR26" s="15"/>
      <c r="AS26" s="15"/>
      <c r="AT26" s="15"/>
      <c r="AU26" s="15"/>
      <c r="AV26" s="15"/>
      <c r="AW26" s="15"/>
      <c r="AX26" s="15"/>
      <c r="AY26" s="15"/>
      <c r="AZ26" s="15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</row>
    <row r="27" spans="1:76" ht="80.099999999999994" customHeight="1" thickBot="1" x14ac:dyDescent="0.25">
      <c r="A27" s="145"/>
      <c r="B27" s="150" t="s">
        <v>130</v>
      </c>
      <c r="C27" s="133" t="s">
        <v>40</v>
      </c>
      <c r="D27" s="134" t="s">
        <v>75</v>
      </c>
      <c r="E27" s="103">
        <v>2603.9</v>
      </c>
      <c r="F27" s="103">
        <v>2759.9</v>
      </c>
      <c r="G27" s="103">
        <v>2915.9</v>
      </c>
      <c r="H27" s="103">
        <v>2993.9</v>
      </c>
      <c r="I27" s="103">
        <v>3110.9</v>
      </c>
      <c r="J27" s="103">
        <v>3188.9</v>
      </c>
      <c r="K27" s="103">
        <v>3344.9</v>
      </c>
      <c r="L27" s="103">
        <v>3539.9</v>
      </c>
      <c r="M27" s="103">
        <v>3695.9</v>
      </c>
      <c r="N27" s="73"/>
      <c r="O27" s="74"/>
      <c r="P27" s="75"/>
      <c r="Q27" s="15"/>
      <c r="R27" s="15"/>
      <c r="S27" s="15"/>
      <c r="T27" s="15"/>
      <c r="U27" s="15"/>
      <c r="V27" s="15"/>
      <c r="W27" s="15"/>
      <c r="X27" s="15"/>
      <c r="Y27" s="15"/>
      <c r="Z27" s="3"/>
      <c r="AA27" s="3"/>
      <c r="AB27" s="73"/>
      <c r="AC27" s="74"/>
      <c r="AD27" s="75"/>
      <c r="AE27" s="15"/>
      <c r="AF27" s="15"/>
      <c r="AG27" s="15"/>
      <c r="AH27" s="15"/>
      <c r="AI27" s="15"/>
      <c r="AJ27" s="15"/>
      <c r="AK27" s="15"/>
      <c r="AL27" s="15"/>
      <c r="AM27" s="15"/>
      <c r="AN27" s="3"/>
      <c r="AO27" s="73"/>
      <c r="AP27" s="74"/>
      <c r="AQ27" s="75"/>
      <c r="AR27" s="15"/>
      <c r="AS27" s="15"/>
      <c r="AT27" s="15"/>
      <c r="AU27" s="15"/>
      <c r="AV27" s="15"/>
      <c r="AW27" s="15"/>
      <c r="AX27" s="15"/>
      <c r="AY27" s="15"/>
      <c r="AZ27" s="15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</row>
    <row r="28" spans="1:76" x14ac:dyDescent="0.2">
      <c r="A28" s="156"/>
      <c r="B28" s="165" t="s">
        <v>8</v>
      </c>
      <c r="C28" s="133" t="s">
        <v>47</v>
      </c>
      <c r="D28" s="134" t="s">
        <v>78</v>
      </c>
      <c r="E28" s="103">
        <v>2420.6</v>
      </c>
      <c r="F28" s="103">
        <v>2550.6</v>
      </c>
      <c r="G28" s="103">
        <v>2680.6</v>
      </c>
      <c r="H28" s="103">
        <v>2745.6</v>
      </c>
      <c r="I28" s="103">
        <v>2843.1</v>
      </c>
      <c r="J28" s="103">
        <v>2908.1</v>
      </c>
      <c r="K28" s="103">
        <v>3038.1</v>
      </c>
      <c r="L28" s="103">
        <v>3200.6</v>
      </c>
      <c r="M28" s="103">
        <v>3330.6</v>
      </c>
      <c r="N28" s="159"/>
      <c r="O28" s="74"/>
      <c r="P28" s="75"/>
      <c r="Q28" s="15"/>
      <c r="R28" s="15"/>
      <c r="S28" s="15"/>
      <c r="T28" s="15"/>
      <c r="U28" s="15"/>
      <c r="V28" s="15"/>
      <c r="W28" s="15"/>
      <c r="X28" s="15"/>
      <c r="Y28" s="15"/>
      <c r="Z28" s="3"/>
      <c r="AA28" s="3"/>
      <c r="AB28" s="159"/>
      <c r="AC28" s="74"/>
      <c r="AD28" s="75"/>
      <c r="AE28" s="15"/>
      <c r="AF28" s="15"/>
      <c r="AG28" s="15"/>
      <c r="AH28" s="15"/>
      <c r="AI28" s="15"/>
      <c r="AJ28" s="15"/>
      <c r="AK28" s="15"/>
      <c r="AL28" s="15"/>
      <c r="AM28" s="15"/>
      <c r="AN28" s="3"/>
      <c r="AO28" s="159"/>
      <c r="AP28" s="74"/>
      <c r="AQ28" s="75"/>
      <c r="AR28" s="15"/>
      <c r="AS28" s="15"/>
      <c r="AT28" s="15"/>
      <c r="AU28" s="15"/>
      <c r="AV28" s="15"/>
      <c r="AW28" s="15"/>
      <c r="AX28" s="15"/>
      <c r="AY28" s="15"/>
      <c r="AZ28" s="15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</row>
    <row r="29" spans="1:76" x14ac:dyDescent="0.2">
      <c r="A29" s="157"/>
      <c r="B29" s="165"/>
      <c r="C29" s="133" t="s">
        <v>48</v>
      </c>
      <c r="D29" s="134" t="s">
        <v>79</v>
      </c>
      <c r="E29" s="103">
        <v>2506.4</v>
      </c>
      <c r="F29" s="103">
        <v>2636.4</v>
      </c>
      <c r="G29" s="103">
        <v>2766.4</v>
      </c>
      <c r="H29" s="103">
        <v>2831.4</v>
      </c>
      <c r="I29" s="103">
        <v>2928.9</v>
      </c>
      <c r="J29" s="103">
        <v>2993.9</v>
      </c>
      <c r="K29" s="103">
        <v>3123.9</v>
      </c>
      <c r="L29" s="103">
        <v>3286.4</v>
      </c>
      <c r="M29" s="103">
        <v>3416.4</v>
      </c>
      <c r="N29" s="159"/>
      <c r="O29" s="74"/>
      <c r="P29" s="75"/>
      <c r="Q29" s="15"/>
      <c r="R29" s="15"/>
      <c r="S29" s="15"/>
      <c r="T29" s="15"/>
      <c r="U29" s="15"/>
      <c r="V29" s="15"/>
      <c r="W29" s="15"/>
      <c r="X29" s="15"/>
      <c r="Y29" s="15"/>
      <c r="Z29" s="3"/>
      <c r="AA29" s="3"/>
      <c r="AB29" s="159"/>
      <c r="AC29" s="74"/>
      <c r="AD29" s="75"/>
      <c r="AE29" s="15"/>
      <c r="AF29" s="15"/>
      <c r="AG29" s="15"/>
      <c r="AH29" s="15"/>
      <c r="AI29" s="15"/>
      <c r="AJ29" s="15"/>
      <c r="AK29" s="15"/>
      <c r="AL29" s="15"/>
      <c r="AM29" s="15"/>
      <c r="AN29" s="3"/>
      <c r="AO29" s="159"/>
      <c r="AP29" s="74"/>
      <c r="AQ29" s="75"/>
      <c r="AR29" s="15"/>
      <c r="AS29" s="15"/>
      <c r="AT29" s="15"/>
      <c r="AU29" s="15"/>
      <c r="AV29" s="15"/>
      <c r="AW29" s="15"/>
      <c r="AX29" s="15"/>
      <c r="AY29" s="15"/>
      <c r="AZ29" s="15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</row>
    <row r="30" spans="1:76" x14ac:dyDescent="0.2">
      <c r="A30" s="157"/>
      <c r="B30" s="165"/>
      <c r="C30" s="133" t="s">
        <v>49</v>
      </c>
      <c r="D30" s="134" t="s">
        <v>80</v>
      </c>
      <c r="E30" s="103">
        <v>2574</v>
      </c>
      <c r="F30" s="103">
        <v>2709.2000000000003</v>
      </c>
      <c r="G30" s="103">
        <v>2844.4</v>
      </c>
      <c r="H30" s="103">
        <v>2912</v>
      </c>
      <c r="I30" s="103">
        <v>3013.4</v>
      </c>
      <c r="J30" s="103">
        <v>3081</v>
      </c>
      <c r="K30" s="103">
        <v>3216.2000000000003</v>
      </c>
      <c r="L30" s="103">
        <v>3385.2000000000003</v>
      </c>
      <c r="M30" s="103">
        <v>3520.4</v>
      </c>
      <c r="N30" s="159"/>
      <c r="O30" s="74"/>
      <c r="P30" s="75"/>
      <c r="Q30" s="15"/>
      <c r="R30" s="15"/>
      <c r="S30" s="15"/>
      <c r="T30" s="15"/>
      <c r="U30" s="15"/>
      <c r="V30" s="15"/>
      <c r="W30" s="15"/>
      <c r="X30" s="15"/>
      <c r="Y30" s="15"/>
      <c r="Z30" s="3"/>
      <c r="AA30" s="3"/>
      <c r="AB30" s="159"/>
      <c r="AC30" s="74"/>
      <c r="AD30" s="75"/>
      <c r="AE30" s="15"/>
      <c r="AF30" s="15"/>
      <c r="AG30" s="15"/>
      <c r="AH30" s="15"/>
      <c r="AI30" s="15"/>
      <c r="AJ30" s="15"/>
      <c r="AK30" s="15"/>
      <c r="AL30" s="15"/>
      <c r="AM30" s="15"/>
      <c r="AN30" s="3"/>
      <c r="AO30" s="159"/>
      <c r="AP30" s="74"/>
      <c r="AQ30" s="75"/>
      <c r="AR30" s="15"/>
      <c r="AS30" s="15"/>
      <c r="AT30" s="15"/>
      <c r="AU30" s="15"/>
      <c r="AV30" s="15"/>
      <c r="AW30" s="15"/>
      <c r="AX30" s="15"/>
      <c r="AY30" s="15"/>
      <c r="AZ30" s="15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</row>
    <row r="31" spans="1:76" x14ac:dyDescent="0.2">
      <c r="A31" s="157"/>
      <c r="B31" s="165"/>
      <c r="C31" s="133" t="s">
        <v>50</v>
      </c>
      <c r="D31" s="134" t="s">
        <v>81</v>
      </c>
      <c r="E31" s="103">
        <v>2642.9</v>
      </c>
      <c r="F31" s="103">
        <v>2778.1</v>
      </c>
      <c r="G31" s="103">
        <v>2913.3</v>
      </c>
      <c r="H31" s="103">
        <v>2980.9</v>
      </c>
      <c r="I31" s="103">
        <v>3082.3</v>
      </c>
      <c r="J31" s="103">
        <v>3149.9</v>
      </c>
      <c r="K31" s="103">
        <v>3285.1</v>
      </c>
      <c r="L31" s="103">
        <v>3454.1</v>
      </c>
      <c r="M31" s="103">
        <v>3589.3</v>
      </c>
      <c r="N31" s="159"/>
      <c r="O31" s="74"/>
      <c r="P31" s="75"/>
      <c r="Q31" s="15"/>
      <c r="R31" s="15"/>
      <c r="S31" s="15"/>
      <c r="T31" s="15"/>
      <c r="U31" s="15"/>
      <c r="V31" s="15"/>
      <c r="W31" s="15"/>
      <c r="X31" s="15"/>
      <c r="Y31" s="15"/>
      <c r="Z31" s="3"/>
      <c r="AA31" s="3"/>
      <c r="AB31" s="159"/>
      <c r="AC31" s="74"/>
      <c r="AD31" s="75"/>
      <c r="AE31" s="15"/>
      <c r="AF31" s="15"/>
      <c r="AG31" s="15"/>
      <c r="AH31" s="15"/>
      <c r="AI31" s="15"/>
      <c r="AJ31" s="15"/>
      <c r="AK31" s="15"/>
      <c r="AL31" s="15"/>
      <c r="AM31" s="15"/>
      <c r="AN31" s="3"/>
      <c r="AO31" s="159"/>
      <c r="AP31" s="74"/>
      <c r="AQ31" s="75"/>
      <c r="AR31" s="15"/>
      <c r="AS31" s="15"/>
      <c r="AT31" s="15"/>
      <c r="AU31" s="15"/>
      <c r="AV31" s="15"/>
      <c r="AW31" s="15"/>
      <c r="AX31" s="15"/>
      <c r="AY31" s="15"/>
      <c r="AZ31" s="15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</row>
    <row r="32" spans="1:76" x14ac:dyDescent="0.2">
      <c r="A32" s="157"/>
      <c r="B32" s="165"/>
      <c r="C32" s="133" t="s">
        <v>51</v>
      </c>
      <c r="D32" s="134" t="s">
        <v>82</v>
      </c>
      <c r="E32" s="103">
        <v>2878.2000000000003</v>
      </c>
      <c r="F32" s="103">
        <v>3023.8</v>
      </c>
      <c r="G32" s="103">
        <v>3169.4</v>
      </c>
      <c r="H32" s="103">
        <v>3242.2000000000003</v>
      </c>
      <c r="I32" s="103">
        <v>3351.4</v>
      </c>
      <c r="J32" s="103">
        <v>3424.2000000000003</v>
      </c>
      <c r="K32" s="103">
        <v>3569.8</v>
      </c>
      <c r="L32" s="103">
        <v>3751.8</v>
      </c>
      <c r="M32" s="103">
        <v>3897.4</v>
      </c>
      <c r="N32" s="159"/>
      <c r="O32" s="74"/>
      <c r="P32" s="75"/>
      <c r="Q32" s="15"/>
      <c r="R32" s="15"/>
      <c r="S32" s="15"/>
      <c r="T32" s="15"/>
      <c r="U32" s="15"/>
      <c r="V32" s="15"/>
      <c r="W32" s="15"/>
      <c r="X32" s="15"/>
      <c r="Y32" s="15"/>
      <c r="Z32" s="3"/>
      <c r="AA32" s="3"/>
      <c r="AB32" s="159"/>
      <c r="AC32" s="74"/>
      <c r="AD32" s="75"/>
      <c r="AE32" s="15"/>
      <c r="AF32" s="15"/>
      <c r="AG32" s="15"/>
      <c r="AH32" s="15"/>
      <c r="AI32" s="15"/>
      <c r="AJ32" s="15"/>
      <c r="AK32" s="15"/>
      <c r="AL32" s="15"/>
      <c r="AM32" s="15"/>
      <c r="AN32" s="3"/>
      <c r="AO32" s="159"/>
      <c r="AP32" s="74"/>
      <c r="AQ32" s="75"/>
      <c r="AR32" s="15"/>
      <c r="AS32" s="15"/>
      <c r="AT32" s="15"/>
      <c r="AU32" s="15"/>
      <c r="AV32" s="15"/>
      <c r="AW32" s="15"/>
      <c r="AX32" s="15"/>
      <c r="AY32" s="15"/>
      <c r="AZ32" s="15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</row>
    <row r="33" spans="1:76" x14ac:dyDescent="0.2">
      <c r="A33" s="157"/>
      <c r="B33" s="165"/>
      <c r="C33" s="133" t="s">
        <v>52</v>
      </c>
      <c r="D33" s="134" t="s">
        <v>83</v>
      </c>
      <c r="E33" s="103">
        <v>2977</v>
      </c>
      <c r="F33" s="103">
        <v>3127.8</v>
      </c>
      <c r="G33" s="103">
        <v>3278.6</v>
      </c>
      <c r="H33" s="103">
        <v>3354</v>
      </c>
      <c r="I33" s="103">
        <v>3467.1</v>
      </c>
      <c r="J33" s="103">
        <v>3542.5</v>
      </c>
      <c r="K33" s="103">
        <v>3693.3</v>
      </c>
      <c r="L33" s="103">
        <v>3881.8</v>
      </c>
      <c r="M33" s="103">
        <v>4032.6000000000004</v>
      </c>
      <c r="N33" s="159"/>
      <c r="O33" s="74"/>
      <c r="P33" s="75"/>
      <c r="Q33" s="15"/>
      <c r="R33" s="15"/>
      <c r="S33" s="15"/>
      <c r="T33" s="15"/>
      <c r="U33" s="15"/>
      <c r="V33" s="15"/>
      <c r="W33" s="15"/>
      <c r="X33" s="15"/>
      <c r="Y33" s="15"/>
      <c r="Z33" s="3"/>
      <c r="AA33" s="3"/>
      <c r="AB33" s="159"/>
      <c r="AC33" s="74"/>
      <c r="AD33" s="75"/>
      <c r="AE33" s="15"/>
      <c r="AF33" s="15"/>
      <c r="AG33" s="15"/>
      <c r="AH33" s="15"/>
      <c r="AI33" s="15"/>
      <c r="AJ33" s="15"/>
      <c r="AK33" s="15"/>
      <c r="AL33" s="15"/>
      <c r="AM33" s="15"/>
      <c r="AN33" s="3"/>
      <c r="AO33" s="159"/>
      <c r="AP33" s="74"/>
      <c r="AQ33" s="75"/>
      <c r="AR33" s="15"/>
      <c r="AS33" s="15"/>
      <c r="AT33" s="15"/>
      <c r="AU33" s="15"/>
      <c r="AV33" s="15"/>
      <c r="AW33" s="15"/>
      <c r="AX33" s="15"/>
      <c r="AY33" s="15"/>
      <c r="AZ33" s="15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</row>
    <row r="34" spans="1:76" x14ac:dyDescent="0.2">
      <c r="A34" s="157"/>
      <c r="B34" s="165"/>
      <c r="C34" s="133" t="s">
        <v>53</v>
      </c>
      <c r="D34" s="134" t="s">
        <v>84</v>
      </c>
      <c r="E34" s="103">
        <v>3114.8</v>
      </c>
      <c r="F34" s="103">
        <v>3270.8</v>
      </c>
      <c r="G34" s="103">
        <v>3426.8</v>
      </c>
      <c r="H34" s="103">
        <v>3504.8</v>
      </c>
      <c r="I34" s="103">
        <v>3621.8</v>
      </c>
      <c r="J34" s="103">
        <v>3699.8</v>
      </c>
      <c r="K34" s="103">
        <v>3855.8</v>
      </c>
      <c r="L34" s="103">
        <v>4050.8</v>
      </c>
      <c r="M34" s="103">
        <v>4206.8</v>
      </c>
      <c r="N34" s="159"/>
      <c r="O34" s="74"/>
      <c r="P34" s="75"/>
      <c r="Q34" s="15"/>
      <c r="R34" s="15"/>
      <c r="S34" s="15"/>
      <c r="T34" s="15"/>
      <c r="U34" s="15"/>
      <c r="V34" s="15"/>
      <c r="W34" s="15"/>
      <c r="X34" s="15"/>
      <c r="Y34" s="15"/>
      <c r="Z34" s="3"/>
      <c r="AA34" s="3"/>
      <c r="AB34" s="159"/>
      <c r="AC34" s="74"/>
      <c r="AD34" s="75"/>
      <c r="AE34" s="15"/>
      <c r="AF34" s="15"/>
      <c r="AG34" s="15"/>
      <c r="AH34" s="15"/>
      <c r="AI34" s="15"/>
      <c r="AJ34" s="15"/>
      <c r="AK34" s="15"/>
      <c r="AL34" s="15"/>
      <c r="AM34" s="15"/>
      <c r="AN34" s="3"/>
      <c r="AO34" s="159"/>
      <c r="AP34" s="74"/>
      <c r="AQ34" s="75"/>
      <c r="AR34" s="15"/>
      <c r="AS34" s="15"/>
      <c r="AT34" s="15"/>
      <c r="AU34" s="15"/>
      <c r="AV34" s="15"/>
      <c r="AW34" s="15"/>
      <c r="AX34" s="15"/>
      <c r="AY34" s="15"/>
      <c r="AZ34" s="15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</row>
    <row r="35" spans="1:76" x14ac:dyDescent="0.2">
      <c r="A35" s="157"/>
      <c r="B35" s="165"/>
      <c r="C35" s="133" t="s">
        <v>54</v>
      </c>
      <c r="D35" s="134" t="s">
        <v>85</v>
      </c>
      <c r="E35" s="103">
        <v>3216.2000000000003</v>
      </c>
      <c r="F35" s="103">
        <v>3374.8</v>
      </c>
      <c r="G35" s="103">
        <v>3533.4</v>
      </c>
      <c r="H35" s="103">
        <v>3612.7000000000003</v>
      </c>
      <c r="I35" s="103">
        <v>3731</v>
      </c>
      <c r="J35" s="103">
        <v>3810.3</v>
      </c>
      <c r="K35" s="103">
        <v>3968.9</v>
      </c>
      <c r="L35" s="103">
        <v>4167.8</v>
      </c>
      <c r="M35" s="103">
        <v>4326.4000000000005</v>
      </c>
      <c r="N35" s="159"/>
      <c r="O35" s="74"/>
      <c r="P35" s="75"/>
      <c r="Q35" s="15"/>
      <c r="R35" s="15"/>
      <c r="S35" s="15"/>
      <c r="T35" s="15"/>
      <c r="U35" s="15"/>
      <c r="V35" s="15"/>
      <c r="W35" s="15"/>
      <c r="X35" s="15"/>
      <c r="Y35" s="15"/>
      <c r="Z35" s="3"/>
      <c r="AA35" s="3"/>
      <c r="AB35" s="159"/>
      <c r="AC35" s="74"/>
      <c r="AD35" s="75"/>
      <c r="AE35" s="15"/>
      <c r="AF35" s="15"/>
      <c r="AG35" s="15"/>
      <c r="AH35" s="15"/>
      <c r="AI35" s="15"/>
      <c r="AJ35" s="15"/>
      <c r="AK35" s="15"/>
      <c r="AL35" s="15"/>
      <c r="AM35" s="15"/>
      <c r="AN35" s="3"/>
      <c r="AO35" s="159"/>
      <c r="AP35" s="74"/>
      <c r="AQ35" s="75"/>
      <c r="AR35" s="15"/>
      <c r="AS35" s="15"/>
      <c r="AT35" s="15"/>
      <c r="AU35" s="15"/>
      <c r="AV35" s="15"/>
      <c r="AW35" s="15"/>
      <c r="AX35" s="15"/>
      <c r="AY35" s="15"/>
      <c r="AZ35" s="15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</row>
    <row r="36" spans="1:76" x14ac:dyDescent="0.2">
      <c r="A36" s="157"/>
      <c r="B36" s="165"/>
      <c r="C36" s="133" t="s">
        <v>55</v>
      </c>
      <c r="D36" s="134" t="s">
        <v>86</v>
      </c>
      <c r="E36" s="103">
        <v>3265.6</v>
      </c>
      <c r="F36" s="103">
        <v>3426.8</v>
      </c>
      <c r="G36" s="103">
        <v>3588</v>
      </c>
      <c r="H36" s="103">
        <v>3668.6</v>
      </c>
      <c r="I36" s="103">
        <v>3789.5</v>
      </c>
      <c r="J36" s="103">
        <v>3870.1</v>
      </c>
      <c r="K36" s="103">
        <v>4031.3</v>
      </c>
      <c r="L36" s="103">
        <v>4232.8</v>
      </c>
      <c r="M36" s="103">
        <v>4394</v>
      </c>
      <c r="N36" s="159"/>
      <c r="O36" s="74"/>
      <c r="P36" s="75"/>
      <c r="Q36" s="15"/>
      <c r="R36" s="15"/>
      <c r="S36" s="15"/>
      <c r="T36" s="15"/>
      <c r="U36" s="15"/>
      <c r="V36" s="15"/>
      <c r="W36" s="15"/>
      <c r="X36" s="15"/>
      <c r="Y36" s="15"/>
      <c r="Z36" s="3"/>
      <c r="AA36" s="3"/>
      <c r="AB36" s="159"/>
      <c r="AC36" s="74"/>
      <c r="AD36" s="75"/>
      <c r="AE36" s="15"/>
      <c r="AF36" s="15"/>
      <c r="AG36" s="15"/>
      <c r="AH36" s="15"/>
      <c r="AI36" s="15"/>
      <c r="AJ36" s="15"/>
      <c r="AK36" s="15"/>
      <c r="AL36" s="15"/>
      <c r="AM36" s="15"/>
      <c r="AN36" s="3"/>
      <c r="AO36" s="159"/>
      <c r="AP36" s="74"/>
      <c r="AQ36" s="75"/>
      <c r="AR36" s="15"/>
      <c r="AS36" s="15"/>
      <c r="AT36" s="15"/>
      <c r="AU36" s="15"/>
      <c r="AV36" s="15"/>
      <c r="AW36" s="15"/>
      <c r="AX36" s="15"/>
      <c r="AY36" s="15"/>
      <c r="AZ36" s="15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</row>
    <row r="37" spans="1:76" x14ac:dyDescent="0.2">
      <c r="A37" s="157"/>
      <c r="B37" s="165"/>
      <c r="C37" s="133" t="s">
        <v>56</v>
      </c>
      <c r="D37" s="134" t="s">
        <v>87</v>
      </c>
      <c r="E37" s="103">
        <v>3404.7000000000003</v>
      </c>
      <c r="F37" s="103">
        <v>3571.1</v>
      </c>
      <c r="G37" s="103">
        <v>3737.5</v>
      </c>
      <c r="H37" s="103">
        <v>3820.7000000000003</v>
      </c>
      <c r="I37" s="103">
        <v>3945.5</v>
      </c>
      <c r="J37" s="103">
        <v>4028.7000000000003</v>
      </c>
      <c r="K37" s="103">
        <v>4195.1000000000004</v>
      </c>
      <c r="L37" s="103">
        <v>4403.1000000000004</v>
      </c>
      <c r="M37" s="103">
        <v>4569.5</v>
      </c>
      <c r="N37" s="159"/>
      <c r="O37" s="74"/>
      <c r="P37" s="75"/>
      <c r="Q37" s="15"/>
      <c r="R37" s="15"/>
      <c r="S37" s="15"/>
      <c r="T37" s="15"/>
      <c r="U37" s="15"/>
      <c r="V37" s="15"/>
      <c r="W37" s="15"/>
      <c r="X37" s="15"/>
      <c r="Y37" s="15"/>
      <c r="Z37" s="3"/>
      <c r="AA37" s="3"/>
      <c r="AB37" s="159"/>
      <c r="AC37" s="74"/>
      <c r="AD37" s="75"/>
      <c r="AE37" s="15"/>
      <c r="AF37" s="15"/>
      <c r="AG37" s="15"/>
      <c r="AH37" s="15"/>
      <c r="AI37" s="15"/>
      <c r="AJ37" s="15"/>
      <c r="AK37" s="15"/>
      <c r="AL37" s="15"/>
      <c r="AM37" s="15"/>
      <c r="AN37" s="3"/>
      <c r="AO37" s="159"/>
      <c r="AP37" s="74"/>
      <c r="AQ37" s="75"/>
      <c r="AR37" s="15"/>
      <c r="AS37" s="15"/>
      <c r="AT37" s="15"/>
      <c r="AU37" s="15"/>
      <c r="AV37" s="15"/>
      <c r="AW37" s="15"/>
      <c r="AX37" s="15"/>
      <c r="AY37" s="15"/>
      <c r="AZ37" s="15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</row>
    <row r="38" spans="1:76" x14ac:dyDescent="0.2">
      <c r="A38" s="157"/>
      <c r="B38" s="165"/>
      <c r="C38" s="133" t="s">
        <v>57</v>
      </c>
      <c r="D38" s="134" t="s">
        <v>88</v>
      </c>
      <c r="E38" s="103">
        <v>3503.5</v>
      </c>
      <c r="F38" s="103">
        <v>3677.7000000000003</v>
      </c>
      <c r="G38" s="103">
        <v>3851.9</v>
      </c>
      <c r="H38" s="103">
        <v>3939</v>
      </c>
      <c r="I38" s="103">
        <v>4070.3</v>
      </c>
      <c r="J38" s="103">
        <v>4157.4000000000005</v>
      </c>
      <c r="K38" s="103">
        <v>4331.6000000000004</v>
      </c>
      <c r="L38" s="103">
        <v>4548.7</v>
      </c>
      <c r="M38" s="103">
        <v>4722.9000000000005</v>
      </c>
      <c r="N38" s="159"/>
      <c r="O38" s="74"/>
      <c r="P38" s="75"/>
      <c r="Q38" s="15"/>
      <c r="R38" s="15"/>
      <c r="S38" s="15"/>
      <c r="T38" s="15"/>
      <c r="U38" s="15"/>
      <c r="V38" s="15"/>
      <c r="W38" s="15"/>
      <c r="X38" s="15"/>
      <c r="Y38" s="15"/>
      <c r="Z38" s="3"/>
      <c r="AA38" s="3"/>
      <c r="AB38" s="159"/>
      <c r="AC38" s="74"/>
      <c r="AD38" s="75"/>
      <c r="AE38" s="15"/>
      <c r="AF38" s="15"/>
      <c r="AG38" s="15"/>
      <c r="AH38" s="15"/>
      <c r="AI38" s="15"/>
      <c r="AJ38" s="15"/>
      <c r="AK38" s="15"/>
      <c r="AL38" s="15"/>
      <c r="AM38" s="15"/>
      <c r="AN38" s="3"/>
      <c r="AO38" s="159"/>
      <c r="AP38" s="74"/>
      <c r="AQ38" s="75"/>
      <c r="AR38" s="15"/>
      <c r="AS38" s="15"/>
      <c r="AT38" s="15"/>
      <c r="AU38" s="15"/>
      <c r="AV38" s="15"/>
      <c r="AW38" s="15"/>
      <c r="AX38" s="15"/>
      <c r="AY38" s="15"/>
      <c r="AZ38" s="15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</row>
    <row r="39" spans="1:76" ht="13.5" thickBot="1" x14ac:dyDescent="0.25">
      <c r="A39" s="158"/>
      <c r="B39" s="165"/>
      <c r="C39" s="133" t="s">
        <v>58</v>
      </c>
      <c r="D39" s="134" t="s">
        <v>89</v>
      </c>
      <c r="E39" s="103">
        <v>3611.4</v>
      </c>
      <c r="F39" s="103">
        <v>3790.8</v>
      </c>
      <c r="G39" s="103">
        <v>3970.2000000000003</v>
      </c>
      <c r="H39" s="103">
        <v>4059.9</v>
      </c>
      <c r="I39" s="103">
        <v>4193.8</v>
      </c>
      <c r="J39" s="103">
        <v>4283.5</v>
      </c>
      <c r="K39" s="103">
        <v>4462.9000000000005</v>
      </c>
      <c r="L39" s="103">
        <v>4687.8</v>
      </c>
      <c r="M39" s="103">
        <v>4867.2</v>
      </c>
      <c r="N39" s="159"/>
      <c r="O39" s="74"/>
      <c r="P39" s="75"/>
      <c r="Q39" s="15"/>
      <c r="R39" s="15"/>
      <c r="S39" s="15"/>
      <c r="T39" s="15"/>
      <c r="U39" s="15"/>
      <c r="V39" s="15"/>
      <c r="W39" s="15"/>
      <c r="X39" s="15"/>
      <c r="Y39" s="15"/>
      <c r="Z39" s="3"/>
      <c r="AA39" s="3"/>
      <c r="AB39" s="159"/>
      <c r="AC39" s="74"/>
      <c r="AD39" s="75"/>
      <c r="AE39" s="15"/>
      <c r="AF39" s="15"/>
      <c r="AG39" s="15"/>
      <c r="AH39" s="15"/>
      <c r="AI39" s="15"/>
      <c r="AJ39" s="15"/>
      <c r="AK39" s="15"/>
      <c r="AL39" s="15"/>
      <c r="AM39" s="15"/>
      <c r="AN39" s="3"/>
      <c r="AO39" s="159"/>
      <c r="AP39" s="74"/>
      <c r="AQ39" s="75"/>
      <c r="AR39" s="15"/>
      <c r="AS39" s="15"/>
      <c r="AT39" s="15"/>
      <c r="AU39" s="15"/>
      <c r="AV39" s="15"/>
      <c r="AW39" s="15"/>
      <c r="AX39" s="15"/>
      <c r="AY39" s="15"/>
      <c r="AZ39" s="15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</row>
    <row r="40" spans="1:76" ht="39.950000000000003" customHeight="1" x14ac:dyDescent="0.2">
      <c r="A40" s="156"/>
      <c r="B40" s="150" t="s">
        <v>135</v>
      </c>
      <c r="C40" s="133" t="s">
        <v>59</v>
      </c>
      <c r="D40" s="134" t="s">
        <v>91</v>
      </c>
      <c r="E40" s="103">
        <v>3689.4</v>
      </c>
      <c r="F40" s="103">
        <v>3876.6</v>
      </c>
      <c r="G40" s="103">
        <v>4063.8</v>
      </c>
      <c r="H40" s="103">
        <v>4157.4000000000005</v>
      </c>
      <c r="I40" s="103">
        <v>4297.8</v>
      </c>
      <c r="J40" s="103">
        <v>4391.4000000000005</v>
      </c>
      <c r="K40" s="103">
        <v>4578.6000000000004</v>
      </c>
      <c r="L40" s="103">
        <v>4812.6000000000004</v>
      </c>
      <c r="M40" s="103">
        <v>4999.8</v>
      </c>
      <c r="N40" s="73"/>
      <c r="O40" s="74"/>
      <c r="P40" s="75"/>
      <c r="Q40" s="15"/>
      <c r="R40" s="15"/>
      <c r="S40" s="15"/>
      <c r="T40" s="15"/>
      <c r="U40" s="15"/>
      <c r="V40" s="15"/>
      <c r="W40" s="15"/>
      <c r="X40" s="15"/>
      <c r="Y40" s="15"/>
      <c r="Z40" s="3"/>
      <c r="AA40" s="3"/>
      <c r="AB40" s="73"/>
      <c r="AC40" s="74"/>
      <c r="AD40" s="75"/>
      <c r="AE40" s="15"/>
      <c r="AF40" s="15"/>
      <c r="AG40" s="15"/>
      <c r="AH40" s="15"/>
      <c r="AI40" s="15"/>
      <c r="AJ40" s="15"/>
      <c r="AK40" s="15"/>
      <c r="AL40" s="15"/>
      <c r="AM40" s="15"/>
      <c r="AN40" s="3"/>
      <c r="AO40" s="90"/>
      <c r="AP40" s="74"/>
      <c r="AQ40" s="75"/>
      <c r="AR40" s="15"/>
      <c r="AS40" s="15"/>
      <c r="AT40" s="15"/>
      <c r="AU40" s="15"/>
      <c r="AV40" s="15"/>
      <c r="AW40" s="15"/>
      <c r="AX40" s="15"/>
      <c r="AY40" s="15"/>
      <c r="AZ40" s="15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</row>
    <row r="41" spans="1:76" ht="39.950000000000003" customHeight="1" thickBot="1" x14ac:dyDescent="0.25">
      <c r="A41" s="158"/>
      <c r="B41" s="150" t="s">
        <v>132</v>
      </c>
      <c r="C41" s="133" t="s">
        <v>59</v>
      </c>
      <c r="D41" s="134" t="s">
        <v>91</v>
      </c>
      <c r="E41" s="103">
        <v>3655.6</v>
      </c>
      <c r="F41" s="103">
        <v>3894.8</v>
      </c>
      <c r="G41" s="103">
        <v>4134</v>
      </c>
      <c r="H41" s="103">
        <v>4253.6000000000004</v>
      </c>
      <c r="I41" s="103">
        <v>4433</v>
      </c>
      <c r="J41" s="103">
        <v>4552.6000000000004</v>
      </c>
      <c r="K41" s="103">
        <v>4791.8</v>
      </c>
      <c r="L41" s="103">
        <v>5090.8</v>
      </c>
      <c r="M41" s="103">
        <v>5330</v>
      </c>
      <c r="N41" s="73"/>
      <c r="O41" s="74"/>
      <c r="P41" s="75"/>
      <c r="Q41" s="15"/>
      <c r="R41" s="15"/>
      <c r="S41" s="15"/>
      <c r="T41" s="15"/>
      <c r="U41" s="15"/>
      <c r="V41" s="15"/>
      <c r="W41" s="15"/>
      <c r="X41" s="15"/>
      <c r="Y41" s="15"/>
      <c r="Z41" s="3"/>
      <c r="AA41" s="3"/>
      <c r="AB41" s="73"/>
      <c r="AC41" s="74"/>
      <c r="AD41" s="75"/>
      <c r="AE41" s="15"/>
      <c r="AF41" s="15"/>
      <c r="AG41" s="15"/>
      <c r="AH41" s="15"/>
      <c r="AI41" s="15"/>
      <c r="AJ41" s="15"/>
      <c r="AK41" s="15"/>
      <c r="AL41" s="15"/>
      <c r="AM41" s="15"/>
      <c r="AN41" s="3"/>
      <c r="AO41" s="90"/>
      <c r="AP41" s="74"/>
      <c r="AQ41" s="75"/>
      <c r="AR41" s="15"/>
      <c r="AS41" s="15"/>
      <c r="AT41" s="15"/>
      <c r="AU41" s="15"/>
      <c r="AV41" s="15"/>
      <c r="AW41" s="15"/>
      <c r="AX41" s="15"/>
      <c r="AY41" s="15"/>
      <c r="AZ41" s="15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</row>
    <row r="42" spans="1:76" ht="32.25" customHeight="1" x14ac:dyDescent="0.2">
      <c r="A42" s="156"/>
      <c r="B42" s="144" t="s">
        <v>143</v>
      </c>
      <c r="C42" s="133" t="s">
        <v>44</v>
      </c>
      <c r="D42" s="135" t="s">
        <v>106</v>
      </c>
      <c r="E42" s="103">
        <v>3347.5</v>
      </c>
      <c r="F42" s="103">
        <v>3524.3</v>
      </c>
      <c r="G42" s="103">
        <v>3701.1</v>
      </c>
      <c r="H42" s="103">
        <v>3789.5</v>
      </c>
      <c r="I42" s="103">
        <v>3922.1</v>
      </c>
      <c r="J42" s="103">
        <v>4010.5</v>
      </c>
      <c r="K42" s="103">
        <v>4187.3</v>
      </c>
      <c r="L42" s="103">
        <v>4408.3</v>
      </c>
      <c r="M42" s="103">
        <v>4585.1000000000004</v>
      </c>
      <c r="N42" s="76"/>
      <c r="O42" s="74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3"/>
      <c r="AA42" s="3"/>
      <c r="AB42" s="76"/>
      <c r="AC42" s="74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3"/>
      <c r="AO42" s="90"/>
      <c r="AP42" s="74"/>
      <c r="AQ42" s="75"/>
      <c r="AR42" s="15"/>
      <c r="AS42" s="15"/>
      <c r="AT42" s="15"/>
      <c r="AU42" s="15"/>
      <c r="AV42" s="15"/>
      <c r="AW42" s="15"/>
      <c r="AX42" s="15"/>
      <c r="AY42" s="15"/>
      <c r="AZ42" s="15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</row>
    <row r="43" spans="1:76" ht="30.75" customHeight="1" x14ac:dyDescent="0.2">
      <c r="A43" s="157"/>
      <c r="B43" s="144" t="s">
        <v>144</v>
      </c>
      <c r="C43" s="133" t="s">
        <v>45</v>
      </c>
      <c r="D43" s="135" t="s">
        <v>107</v>
      </c>
      <c r="E43" s="103">
        <v>3542.5</v>
      </c>
      <c r="F43" s="103">
        <v>3740.1</v>
      </c>
      <c r="G43" s="103">
        <v>3937.7000000000003</v>
      </c>
      <c r="H43" s="103">
        <v>4036.5</v>
      </c>
      <c r="I43" s="103">
        <v>4184.7</v>
      </c>
      <c r="J43" s="103">
        <v>4283.5</v>
      </c>
      <c r="K43" s="103">
        <v>4481.1000000000004</v>
      </c>
      <c r="L43" s="103">
        <v>4728.1000000000004</v>
      </c>
      <c r="M43" s="103">
        <v>4925.7</v>
      </c>
      <c r="N43" s="76"/>
      <c r="O43" s="74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3"/>
      <c r="AA43" s="3"/>
      <c r="AB43" s="76"/>
      <c r="AC43" s="74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3"/>
      <c r="AO43" s="90"/>
      <c r="AP43" s="74"/>
      <c r="AQ43" s="75"/>
      <c r="AR43" s="15"/>
      <c r="AS43" s="15"/>
      <c r="AT43" s="15"/>
      <c r="AU43" s="15"/>
      <c r="AV43" s="15"/>
      <c r="AW43" s="15"/>
      <c r="AX43" s="15"/>
      <c r="AY43" s="15"/>
      <c r="AZ43" s="15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</row>
    <row r="44" spans="1:76" ht="32.25" customHeight="1" thickBot="1" x14ac:dyDescent="0.25">
      <c r="A44" s="158"/>
      <c r="B44" s="144" t="s">
        <v>145</v>
      </c>
      <c r="C44" s="133" t="s">
        <v>46</v>
      </c>
      <c r="D44" s="135" t="s">
        <v>108</v>
      </c>
      <c r="E44" s="103">
        <v>3816.8</v>
      </c>
      <c r="F44" s="103">
        <v>4030</v>
      </c>
      <c r="G44" s="103">
        <v>4243.2</v>
      </c>
      <c r="H44" s="103">
        <v>4349.8</v>
      </c>
      <c r="I44" s="103">
        <v>4509.7</v>
      </c>
      <c r="J44" s="103">
        <v>4616.3</v>
      </c>
      <c r="K44" s="103">
        <v>4829.5</v>
      </c>
      <c r="L44" s="103">
        <v>5096</v>
      </c>
      <c r="M44" s="103">
        <v>5309.2</v>
      </c>
      <c r="N44" s="76"/>
      <c r="O44" s="74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3"/>
      <c r="AA44" s="3"/>
      <c r="AB44" s="76"/>
      <c r="AC44" s="74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3"/>
      <c r="AO44" s="90"/>
      <c r="AP44" s="74"/>
      <c r="AQ44" s="75"/>
      <c r="AR44" s="15"/>
      <c r="AS44" s="15"/>
      <c r="AT44" s="15"/>
      <c r="AU44" s="15"/>
      <c r="AV44" s="15"/>
      <c r="AW44" s="15"/>
      <c r="AX44" s="15"/>
      <c r="AY44" s="15"/>
      <c r="AZ44" s="15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</row>
    <row r="45" spans="1:76" s="146" customFormat="1" ht="80.099999999999994" customHeight="1" thickBot="1" x14ac:dyDescent="0.25">
      <c r="A45" s="149"/>
      <c r="B45" s="144" t="s">
        <v>146</v>
      </c>
      <c r="C45" s="133" t="s">
        <v>96</v>
      </c>
      <c r="D45" s="135" t="s">
        <v>115</v>
      </c>
      <c r="E45" s="103">
        <v>4180.8</v>
      </c>
      <c r="F45" s="103">
        <v>4430.4000000000005</v>
      </c>
      <c r="G45" s="103">
        <v>4680</v>
      </c>
      <c r="H45" s="103">
        <v>4804.8</v>
      </c>
      <c r="I45" s="103">
        <v>4992</v>
      </c>
      <c r="J45" s="103">
        <v>5116.8</v>
      </c>
      <c r="K45" s="103">
        <v>5366.4000000000005</v>
      </c>
      <c r="L45" s="103">
        <v>5678.4000000000005</v>
      </c>
      <c r="M45" s="103">
        <v>5928</v>
      </c>
      <c r="N45" s="147"/>
      <c r="O45" s="74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48"/>
      <c r="AA45" s="148"/>
      <c r="AB45" s="147"/>
      <c r="AC45" s="74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48"/>
      <c r="AO45" s="137"/>
      <c r="AP45" s="74"/>
      <c r="AQ45" s="75"/>
      <c r="AR45" s="15"/>
      <c r="AS45" s="15"/>
      <c r="AT45" s="15"/>
      <c r="AU45" s="15"/>
      <c r="AV45" s="15"/>
      <c r="AW45" s="15"/>
      <c r="AX45" s="15"/>
      <c r="AY45" s="15"/>
      <c r="AZ45" s="15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</row>
    <row r="46" spans="1:76" ht="80.099999999999994" customHeight="1" thickBot="1" x14ac:dyDescent="0.25">
      <c r="A46" s="145"/>
      <c r="B46" s="144" t="s">
        <v>139</v>
      </c>
      <c r="C46" s="133" t="s">
        <v>71</v>
      </c>
      <c r="D46" s="135" t="s">
        <v>118</v>
      </c>
      <c r="E46" s="103">
        <v>2900.3</v>
      </c>
      <c r="F46" s="103">
        <v>3134.3</v>
      </c>
      <c r="G46" s="103">
        <v>3368.3</v>
      </c>
      <c r="H46" s="103">
        <v>3485.3</v>
      </c>
      <c r="I46" s="103">
        <v>3660.8</v>
      </c>
      <c r="J46" s="103">
        <v>3777.8</v>
      </c>
      <c r="K46" s="103">
        <v>4011.8</v>
      </c>
      <c r="L46" s="103">
        <v>4304.3</v>
      </c>
      <c r="M46" s="103">
        <v>4538.3</v>
      </c>
      <c r="N46" s="76"/>
      <c r="O46" s="74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3"/>
      <c r="AA46" s="3"/>
      <c r="AB46" s="76"/>
      <c r="AC46" s="74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3"/>
      <c r="AO46" s="90"/>
      <c r="AP46" s="74"/>
      <c r="AQ46" s="75"/>
      <c r="AR46" s="15"/>
      <c r="AS46" s="15"/>
      <c r="AT46" s="15"/>
      <c r="AU46" s="15"/>
      <c r="AV46" s="15"/>
      <c r="AW46" s="15"/>
      <c r="AX46" s="15"/>
      <c r="AY46" s="15"/>
      <c r="AZ46" s="15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</row>
    <row r="47" spans="1:76" ht="80.099999999999994" customHeight="1" thickBot="1" x14ac:dyDescent="0.25">
      <c r="A47" s="145"/>
      <c r="B47" s="144" t="s">
        <v>140</v>
      </c>
      <c r="C47" s="133" t="s">
        <v>65</v>
      </c>
      <c r="D47" s="135" t="s">
        <v>104</v>
      </c>
      <c r="E47" s="103">
        <v>3302</v>
      </c>
      <c r="F47" s="103">
        <v>3556.8</v>
      </c>
      <c r="G47" s="103">
        <v>3811.6</v>
      </c>
      <c r="H47" s="103">
        <v>3939</v>
      </c>
      <c r="I47" s="103">
        <v>4130.1000000000004</v>
      </c>
      <c r="J47" s="103">
        <v>4257.5</v>
      </c>
      <c r="K47" s="103">
        <v>4512.3</v>
      </c>
      <c r="L47" s="103">
        <v>4830.8</v>
      </c>
      <c r="M47" s="103">
        <v>5085.6000000000004</v>
      </c>
      <c r="N47" s="76"/>
      <c r="O47" s="74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3"/>
      <c r="AA47" s="3"/>
      <c r="AB47" s="76"/>
      <c r="AC47" s="74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3"/>
      <c r="AO47" s="90"/>
      <c r="AP47" s="74"/>
      <c r="AQ47" s="75"/>
      <c r="AR47" s="15"/>
      <c r="AS47" s="15"/>
      <c r="AT47" s="15"/>
      <c r="AU47" s="15"/>
      <c r="AV47" s="15"/>
      <c r="AW47" s="15"/>
      <c r="AX47" s="15"/>
      <c r="AY47" s="15"/>
      <c r="AZ47" s="15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</row>
    <row r="48" spans="1:76" ht="80.099999999999994" customHeight="1" thickBot="1" x14ac:dyDescent="0.25">
      <c r="A48" s="145"/>
      <c r="B48" s="144" t="s">
        <v>141</v>
      </c>
      <c r="C48" s="133" t="s">
        <v>72</v>
      </c>
      <c r="D48" s="135" t="s">
        <v>105</v>
      </c>
      <c r="E48" s="103">
        <v>3114.8</v>
      </c>
      <c r="F48" s="103">
        <v>3367</v>
      </c>
      <c r="G48" s="103">
        <v>3619.2000000000003</v>
      </c>
      <c r="H48" s="103">
        <v>3745.3</v>
      </c>
      <c r="I48" s="103">
        <v>3935.1</v>
      </c>
      <c r="J48" s="103">
        <v>4061.2000000000003</v>
      </c>
      <c r="K48" s="103">
        <v>4313.4000000000005</v>
      </c>
      <c r="L48" s="103">
        <v>4628</v>
      </c>
      <c r="M48" s="103">
        <v>4880.2</v>
      </c>
      <c r="N48" s="76"/>
      <c r="O48" s="74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3"/>
      <c r="AA48" s="3"/>
      <c r="AB48" s="76"/>
      <c r="AC48" s="74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3"/>
      <c r="AO48" s="90"/>
      <c r="AP48" s="74"/>
      <c r="AQ48" s="75"/>
      <c r="AR48" s="15"/>
      <c r="AS48" s="15"/>
      <c r="AT48" s="15"/>
      <c r="AU48" s="15"/>
      <c r="AV48" s="15"/>
      <c r="AW48" s="15"/>
      <c r="AX48" s="15"/>
      <c r="AY48" s="15"/>
      <c r="AZ48" s="15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</row>
    <row r="49" spans="1:76" s="146" customFormat="1" ht="80.099999999999994" customHeight="1" thickBot="1" x14ac:dyDescent="0.25">
      <c r="A49" s="149"/>
      <c r="B49" s="144" t="s">
        <v>138</v>
      </c>
      <c r="C49" s="133" t="s">
        <v>70</v>
      </c>
      <c r="D49" s="135" t="s">
        <v>103</v>
      </c>
      <c r="E49" s="103">
        <v>3768.7000000000003</v>
      </c>
      <c r="F49" s="103">
        <v>4026.1000000000004</v>
      </c>
      <c r="G49" s="103">
        <v>4283.5</v>
      </c>
      <c r="H49" s="103">
        <v>4412.2</v>
      </c>
      <c r="I49" s="103">
        <v>4604.6000000000004</v>
      </c>
      <c r="J49" s="103">
        <v>4733.3</v>
      </c>
      <c r="K49" s="103">
        <v>4990.7</v>
      </c>
      <c r="L49" s="103">
        <v>5313.1</v>
      </c>
      <c r="M49" s="103">
        <v>5570.5</v>
      </c>
      <c r="N49" s="147"/>
      <c r="O49" s="74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48"/>
      <c r="AA49" s="148"/>
      <c r="AB49" s="147"/>
      <c r="AC49" s="74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48"/>
      <c r="AO49" s="137"/>
      <c r="AP49" s="74"/>
      <c r="AQ49" s="75"/>
      <c r="AR49" s="15"/>
      <c r="AS49" s="15"/>
      <c r="AT49" s="15"/>
      <c r="AU49" s="15"/>
      <c r="AV49" s="15"/>
      <c r="AW49" s="15"/>
      <c r="AX49" s="15"/>
      <c r="AY49" s="15"/>
      <c r="AZ49" s="15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</row>
    <row r="50" spans="1:76" ht="80.099999999999994" customHeight="1" thickBot="1" x14ac:dyDescent="0.25">
      <c r="A50" s="145"/>
      <c r="B50" s="150" t="s">
        <v>167</v>
      </c>
      <c r="C50" s="133" t="s">
        <v>173</v>
      </c>
      <c r="D50" s="135" t="s">
        <v>175</v>
      </c>
      <c r="E50" s="103">
        <v>3757</v>
      </c>
      <c r="F50" s="103">
        <v>4040.4</v>
      </c>
      <c r="G50" s="103">
        <v>4323.8</v>
      </c>
      <c r="H50" s="103">
        <v>4465.5</v>
      </c>
      <c r="I50" s="103">
        <v>4678.7</v>
      </c>
      <c r="J50" s="103">
        <v>4820.4000000000005</v>
      </c>
      <c r="K50" s="103">
        <v>5103.8</v>
      </c>
      <c r="L50" s="103">
        <v>5457.4000000000005</v>
      </c>
      <c r="M50" s="103">
        <v>5740.8</v>
      </c>
      <c r="N50" s="88"/>
      <c r="O50" s="74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3"/>
      <c r="AA50" s="3"/>
      <c r="AB50" s="88"/>
      <c r="AC50" s="74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3"/>
      <c r="AO50" s="90"/>
      <c r="AP50" s="74"/>
      <c r="AQ50" s="75"/>
      <c r="AR50" s="15"/>
      <c r="AS50" s="15"/>
      <c r="AT50" s="15"/>
      <c r="AU50" s="15"/>
      <c r="AV50" s="15"/>
      <c r="AW50" s="15"/>
      <c r="AX50" s="15"/>
      <c r="AY50" s="15"/>
      <c r="AZ50" s="15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</row>
    <row r="51" spans="1:76" ht="80.099999999999994" customHeight="1" thickBot="1" x14ac:dyDescent="0.25">
      <c r="A51" s="151"/>
      <c r="B51" s="134" t="s">
        <v>168</v>
      </c>
      <c r="C51" s="133" t="s">
        <v>174</v>
      </c>
      <c r="D51" s="135" t="s">
        <v>176</v>
      </c>
      <c r="E51" s="103">
        <v>2411.5</v>
      </c>
      <c r="F51" s="103">
        <v>2572.7000000000003</v>
      </c>
      <c r="G51" s="103">
        <v>2733.9</v>
      </c>
      <c r="H51" s="103">
        <v>2814.5</v>
      </c>
      <c r="I51" s="103">
        <v>2935.4</v>
      </c>
      <c r="J51" s="103">
        <v>3016</v>
      </c>
      <c r="K51" s="103">
        <v>3177.2000000000003</v>
      </c>
      <c r="L51" s="103">
        <v>3378.7000000000003</v>
      </c>
      <c r="M51" s="103">
        <v>3539.9</v>
      </c>
      <c r="N51" s="88"/>
      <c r="O51" s="74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3"/>
      <c r="AA51" s="3"/>
      <c r="AB51" s="88"/>
      <c r="AC51" s="74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3"/>
      <c r="AO51" s="90"/>
      <c r="AP51" s="74"/>
      <c r="AQ51" s="75"/>
      <c r="AR51" s="15"/>
      <c r="AS51" s="15"/>
      <c r="AT51" s="15"/>
      <c r="AU51" s="15"/>
      <c r="AV51" s="15"/>
      <c r="AW51" s="15"/>
      <c r="AX51" s="15"/>
      <c r="AY51" s="15"/>
      <c r="AZ51" s="15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</row>
    <row r="52" spans="1:76" ht="80.099999999999994" customHeight="1" thickBot="1" x14ac:dyDescent="0.25">
      <c r="A52" s="145"/>
      <c r="B52" s="144" t="s">
        <v>163</v>
      </c>
      <c r="C52" s="133" t="s">
        <v>177</v>
      </c>
      <c r="D52" s="135" t="s">
        <v>180</v>
      </c>
      <c r="E52" s="103">
        <v>3987.1</v>
      </c>
      <c r="F52" s="103">
        <v>4257.5</v>
      </c>
      <c r="G52" s="103">
        <v>4527.9000000000005</v>
      </c>
      <c r="H52" s="103">
        <v>4663.1000000000004</v>
      </c>
      <c r="I52" s="103">
        <v>4865.9000000000005</v>
      </c>
      <c r="J52" s="103">
        <v>5001.1000000000004</v>
      </c>
      <c r="K52" s="103">
        <v>5271.5</v>
      </c>
      <c r="L52" s="103">
        <v>5609.5</v>
      </c>
      <c r="M52" s="103">
        <v>5879.9000000000005</v>
      </c>
      <c r="N52" s="76"/>
      <c r="O52" s="74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3"/>
      <c r="AA52" s="3"/>
      <c r="AB52" s="76"/>
      <c r="AC52" s="74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3"/>
      <c r="AO52" s="73"/>
      <c r="AP52" s="74"/>
      <c r="AQ52" s="75"/>
      <c r="AR52" s="15"/>
      <c r="AS52" s="15"/>
      <c r="AT52" s="15"/>
      <c r="AU52" s="15"/>
      <c r="AV52" s="15"/>
      <c r="AW52" s="15"/>
      <c r="AX52" s="15"/>
      <c r="AY52" s="15"/>
      <c r="AZ52" s="15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</row>
    <row r="53" spans="1:76" ht="39.950000000000003" customHeight="1" x14ac:dyDescent="0.2">
      <c r="A53" s="156"/>
      <c r="B53" s="150" t="s">
        <v>10</v>
      </c>
      <c r="C53" s="133" t="s">
        <v>60</v>
      </c>
      <c r="D53" s="134" t="s">
        <v>92</v>
      </c>
      <c r="E53" s="103">
        <v>3004.3</v>
      </c>
      <c r="F53" s="103">
        <v>3251.3</v>
      </c>
      <c r="G53" s="103">
        <v>3498.3</v>
      </c>
      <c r="H53" s="103">
        <v>3621.8</v>
      </c>
      <c r="I53" s="103">
        <v>3807.7000000000003</v>
      </c>
      <c r="J53" s="103">
        <v>3931.2000000000003</v>
      </c>
      <c r="K53" s="103">
        <v>4178.2</v>
      </c>
      <c r="L53" s="103">
        <v>4486.3</v>
      </c>
      <c r="M53" s="103">
        <v>4733.3</v>
      </c>
      <c r="N53" s="73"/>
      <c r="O53" s="74"/>
      <c r="P53" s="75"/>
      <c r="Q53" s="15"/>
      <c r="R53" s="15"/>
      <c r="S53" s="15"/>
      <c r="T53" s="15"/>
      <c r="U53" s="15"/>
      <c r="V53" s="15"/>
      <c r="W53" s="15"/>
      <c r="X53" s="15"/>
      <c r="Y53" s="15"/>
      <c r="Z53" s="3"/>
      <c r="AA53" s="3"/>
      <c r="AB53" s="73"/>
      <c r="AC53" s="74"/>
      <c r="AD53" s="75"/>
      <c r="AE53" s="15"/>
      <c r="AF53" s="15"/>
      <c r="AG53" s="15"/>
      <c r="AH53" s="15"/>
      <c r="AI53" s="15"/>
      <c r="AJ53" s="15"/>
      <c r="AK53" s="15"/>
      <c r="AL53" s="15"/>
      <c r="AM53" s="15"/>
      <c r="AN53" s="3"/>
      <c r="AO53" s="73"/>
      <c r="AP53" s="74"/>
      <c r="AQ53" s="75"/>
      <c r="AR53" s="15"/>
      <c r="AS53" s="15"/>
      <c r="AT53" s="15"/>
      <c r="AU53" s="15"/>
      <c r="AV53" s="15"/>
      <c r="AW53" s="15"/>
      <c r="AX53" s="15"/>
      <c r="AY53" s="15"/>
      <c r="AZ53" s="15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</row>
    <row r="54" spans="1:76" ht="39.950000000000003" customHeight="1" thickBot="1" x14ac:dyDescent="0.25">
      <c r="A54" s="158"/>
      <c r="B54" s="150" t="s">
        <v>29</v>
      </c>
      <c r="C54" s="133" t="s">
        <v>60</v>
      </c>
      <c r="D54" s="134" t="s">
        <v>92</v>
      </c>
      <c r="E54" s="103">
        <v>3299.4</v>
      </c>
      <c r="F54" s="103">
        <v>3546.4</v>
      </c>
      <c r="G54" s="103">
        <v>3793.4</v>
      </c>
      <c r="H54" s="103">
        <v>3916.9</v>
      </c>
      <c r="I54" s="103">
        <v>4102.8</v>
      </c>
      <c r="J54" s="103">
        <v>4226.3</v>
      </c>
      <c r="K54" s="103">
        <v>4473.3</v>
      </c>
      <c r="L54" s="103">
        <v>4781.4000000000005</v>
      </c>
      <c r="M54" s="103">
        <v>5028.4000000000005</v>
      </c>
      <c r="N54" s="73"/>
      <c r="O54" s="74"/>
      <c r="P54" s="75"/>
      <c r="Q54" s="15"/>
      <c r="R54" s="15"/>
      <c r="S54" s="15"/>
      <c r="T54" s="15"/>
      <c r="U54" s="15"/>
      <c r="V54" s="15"/>
      <c r="W54" s="15"/>
      <c r="X54" s="15"/>
      <c r="Y54" s="15"/>
      <c r="Z54" s="3"/>
      <c r="AA54" s="3"/>
      <c r="AB54" s="73"/>
      <c r="AC54" s="74"/>
      <c r="AD54" s="75"/>
      <c r="AE54" s="15"/>
      <c r="AF54" s="15"/>
      <c r="AG54" s="15"/>
      <c r="AH54" s="15"/>
      <c r="AI54" s="15"/>
      <c r="AJ54" s="15"/>
      <c r="AK54" s="15"/>
      <c r="AL54" s="15"/>
      <c r="AM54" s="15"/>
      <c r="AN54" s="3"/>
      <c r="AO54" s="73"/>
      <c r="AP54" s="74"/>
      <c r="AQ54" s="75"/>
      <c r="AR54" s="15"/>
      <c r="AS54" s="15"/>
      <c r="AT54" s="15"/>
      <c r="AU54" s="15"/>
      <c r="AV54" s="15"/>
      <c r="AW54" s="15"/>
      <c r="AX54" s="15"/>
      <c r="AY54" s="15"/>
      <c r="AZ54" s="15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</row>
    <row r="55" spans="1:76" ht="80.099999999999994" customHeight="1" thickBot="1" x14ac:dyDescent="0.25">
      <c r="A55" s="145"/>
      <c r="B55" s="144" t="s">
        <v>155</v>
      </c>
      <c r="C55" s="133" t="s">
        <v>156</v>
      </c>
      <c r="D55" s="135" t="s">
        <v>157</v>
      </c>
      <c r="E55" s="103">
        <v>3788.2000000000003</v>
      </c>
      <c r="F55" s="103">
        <v>4126.2</v>
      </c>
      <c r="G55" s="103">
        <v>4464.2</v>
      </c>
      <c r="H55" s="103">
        <v>4633.2</v>
      </c>
      <c r="I55" s="103">
        <v>4886.7</v>
      </c>
      <c r="J55" s="103">
        <v>5055.7</v>
      </c>
      <c r="K55" s="103">
        <v>5393.7</v>
      </c>
      <c r="L55" s="103">
        <v>5816.2</v>
      </c>
      <c r="M55" s="103">
        <v>6154.2</v>
      </c>
      <c r="N55" s="76"/>
      <c r="O55" s="74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3"/>
      <c r="AA55" s="3"/>
      <c r="AB55" s="76"/>
      <c r="AC55" s="74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3"/>
      <c r="AO55" s="73"/>
      <c r="AP55" s="74"/>
      <c r="AQ55" s="75"/>
      <c r="AR55" s="15"/>
      <c r="AS55" s="15"/>
      <c r="AT55" s="15"/>
      <c r="AU55" s="15"/>
      <c r="AV55" s="15"/>
      <c r="AW55" s="15"/>
      <c r="AX55" s="15"/>
      <c r="AY55" s="15"/>
      <c r="AZ55" s="15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</row>
    <row r="56" spans="1:76" ht="80.099999999999994" customHeight="1" thickBot="1" x14ac:dyDescent="0.25">
      <c r="A56" s="145"/>
      <c r="B56" s="144" t="s">
        <v>170</v>
      </c>
      <c r="C56" s="133" t="s">
        <v>179</v>
      </c>
      <c r="D56" s="135" t="s">
        <v>182</v>
      </c>
      <c r="E56" s="103">
        <v>4015.7000000000003</v>
      </c>
      <c r="F56" s="103">
        <v>4317.3</v>
      </c>
      <c r="G56" s="103">
        <v>4618.9000000000005</v>
      </c>
      <c r="H56" s="103">
        <v>4769.7</v>
      </c>
      <c r="I56" s="103">
        <v>4995.9000000000005</v>
      </c>
      <c r="J56" s="103">
        <v>5146.7</v>
      </c>
      <c r="K56" s="103">
        <v>5448.3</v>
      </c>
      <c r="L56" s="103">
        <v>5825.3</v>
      </c>
      <c r="M56" s="103">
        <v>6126.9000000000005</v>
      </c>
      <c r="N56" s="76"/>
      <c r="O56" s="74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3"/>
      <c r="AA56" s="3"/>
      <c r="AB56" s="76"/>
      <c r="AC56" s="74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3"/>
      <c r="AO56" s="73"/>
      <c r="AP56" s="74"/>
      <c r="AQ56" s="75"/>
      <c r="AR56" s="15"/>
      <c r="AS56" s="15"/>
      <c r="AT56" s="15"/>
      <c r="AU56" s="15"/>
      <c r="AV56" s="15"/>
      <c r="AW56" s="15"/>
      <c r="AX56" s="15"/>
      <c r="AY56" s="15"/>
      <c r="AZ56" s="15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</row>
    <row r="57" spans="1:76" ht="80.099999999999994" customHeight="1" thickBot="1" x14ac:dyDescent="0.25">
      <c r="A57" s="145"/>
      <c r="B57" s="144" t="s">
        <v>39</v>
      </c>
      <c r="C57" s="133" t="s">
        <v>44</v>
      </c>
      <c r="D57" s="134" t="s">
        <v>98</v>
      </c>
      <c r="E57" s="103">
        <v>3824.6</v>
      </c>
      <c r="F57" s="103">
        <v>4074.2000000000003</v>
      </c>
      <c r="G57" s="103">
        <v>4323.8</v>
      </c>
      <c r="H57" s="103">
        <v>4448.6000000000004</v>
      </c>
      <c r="I57" s="103">
        <v>4635.8</v>
      </c>
      <c r="J57" s="103">
        <v>4760.6000000000004</v>
      </c>
      <c r="K57" s="103">
        <v>5010.2</v>
      </c>
      <c r="L57" s="103">
        <v>5322.2</v>
      </c>
      <c r="M57" s="103">
        <v>5571.8</v>
      </c>
      <c r="N57" s="76"/>
      <c r="O57" s="74"/>
      <c r="P57" s="75"/>
      <c r="Q57" s="15"/>
      <c r="R57" s="15"/>
      <c r="S57" s="15"/>
      <c r="T57" s="15"/>
      <c r="U57" s="15"/>
      <c r="V57" s="15"/>
      <c r="W57" s="15"/>
      <c r="X57" s="15"/>
      <c r="Y57" s="15"/>
      <c r="Z57" s="3"/>
      <c r="AA57" s="3"/>
      <c r="AB57" s="76"/>
      <c r="AC57" s="74"/>
      <c r="AD57" s="75"/>
      <c r="AE57" s="15"/>
      <c r="AF57" s="15"/>
      <c r="AG57" s="15"/>
      <c r="AH57" s="15"/>
      <c r="AI57" s="15"/>
      <c r="AJ57" s="15"/>
      <c r="AK57" s="15"/>
      <c r="AL57" s="15"/>
      <c r="AM57" s="15"/>
      <c r="AN57" s="3"/>
      <c r="AO57" s="73"/>
      <c r="AP57" s="74"/>
      <c r="AQ57" s="75"/>
      <c r="AR57" s="15"/>
      <c r="AS57" s="15"/>
      <c r="AT57" s="15"/>
      <c r="AU57" s="15"/>
      <c r="AV57" s="15"/>
      <c r="AW57" s="15"/>
      <c r="AX57" s="15"/>
      <c r="AY57" s="15"/>
      <c r="AZ57" s="15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</row>
    <row r="58" spans="1:76" ht="39.950000000000003" customHeight="1" x14ac:dyDescent="0.2">
      <c r="A58" s="154"/>
      <c r="B58" s="144" t="s">
        <v>172</v>
      </c>
      <c r="C58" s="133" t="s">
        <v>178</v>
      </c>
      <c r="D58" s="135" t="s">
        <v>181</v>
      </c>
      <c r="E58" s="103">
        <v>4023.5</v>
      </c>
      <c r="F58" s="103">
        <v>4390.1000000000004</v>
      </c>
      <c r="G58" s="103">
        <v>4756.7</v>
      </c>
      <c r="H58" s="103">
        <v>4940</v>
      </c>
      <c r="I58" s="103">
        <v>5214.3</v>
      </c>
      <c r="J58" s="103">
        <v>5397.6</v>
      </c>
      <c r="K58" s="103">
        <v>5764.2</v>
      </c>
      <c r="L58" s="103">
        <v>6223.1</v>
      </c>
      <c r="M58" s="103">
        <v>6589.7</v>
      </c>
      <c r="N58" s="76"/>
      <c r="O58" s="74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3"/>
      <c r="AA58" s="3"/>
      <c r="AB58" s="76"/>
      <c r="AC58" s="74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3"/>
      <c r="AO58" s="73"/>
      <c r="AP58" s="74"/>
      <c r="AQ58" s="75"/>
      <c r="AR58" s="15"/>
      <c r="AS58" s="15"/>
      <c r="AT58" s="15"/>
      <c r="AU58" s="15"/>
      <c r="AV58" s="15"/>
      <c r="AW58" s="15"/>
      <c r="AX58" s="15"/>
      <c r="AY58" s="15"/>
      <c r="AZ58" s="15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</row>
    <row r="59" spans="1:76" ht="39.950000000000003" customHeight="1" thickBot="1" x14ac:dyDescent="0.25">
      <c r="A59" s="155"/>
      <c r="B59" s="144" t="s">
        <v>171</v>
      </c>
      <c r="C59" s="133" t="s">
        <v>178</v>
      </c>
      <c r="D59" s="135" t="s">
        <v>181</v>
      </c>
      <c r="E59" s="103">
        <v>4239.3</v>
      </c>
      <c r="F59" s="103">
        <v>4605.9000000000005</v>
      </c>
      <c r="G59" s="103">
        <v>4972.5</v>
      </c>
      <c r="H59" s="103">
        <v>5155.8</v>
      </c>
      <c r="I59" s="103">
        <v>5430.1</v>
      </c>
      <c r="J59" s="103">
        <v>5613.4000000000005</v>
      </c>
      <c r="K59" s="103">
        <v>5980</v>
      </c>
      <c r="L59" s="103">
        <v>6438.9000000000005</v>
      </c>
      <c r="M59" s="103">
        <v>6805.5</v>
      </c>
      <c r="N59" s="76"/>
      <c r="O59" s="74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3"/>
      <c r="AA59" s="3"/>
      <c r="AB59" s="76"/>
      <c r="AC59" s="74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3"/>
      <c r="AO59" s="73"/>
      <c r="AP59" s="74"/>
      <c r="AQ59" s="75"/>
      <c r="AR59" s="15"/>
      <c r="AS59" s="15"/>
      <c r="AT59" s="15"/>
      <c r="AU59" s="15"/>
      <c r="AV59" s="15"/>
      <c r="AW59" s="15"/>
      <c r="AX59" s="15"/>
      <c r="AY59" s="15"/>
      <c r="AZ59" s="15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</row>
    <row r="60" spans="1:76" s="146" customFormat="1" ht="80.099999999999994" customHeight="1" thickBot="1" x14ac:dyDescent="0.25">
      <c r="A60" s="149"/>
      <c r="B60" s="144" t="s">
        <v>34</v>
      </c>
      <c r="C60" s="133" t="s">
        <v>43</v>
      </c>
      <c r="D60" s="135" t="s">
        <v>35</v>
      </c>
      <c r="E60" s="103">
        <v>1602.9</v>
      </c>
      <c r="F60" s="103">
        <v>1717.3</v>
      </c>
      <c r="G60" s="103">
        <v>1831.7</v>
      </c>
      <c r="H60" s="103">
        <v>1888.9</v>
      </c>
      <c r="I60" s="103">
        <v>1974.7</v>
      </c>
      <c r="J60" s="103">
        <v>2031.9</v>
      </c>
      <c r="K60" s="103">
        <v>2146.3000000000002</v>
      </c>
      <c r="L60" s="103">
        <v>2289.3000000000002</v>
      </c>
      <c r="M60" s="103">
        <v>2403.7000000000003</v>
      </c>
      <c r="N60" s="147"/>
      <c r="O60" s="74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48"/>
      <c r="AA60" s="148"/>
      <c r="AB60" s="147"/>
      <c r="AC60" s="74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48"/>
      <c r="AO60" s="75"/>
      <c r="AP60" s="74"/>
      <c r="AQ60" s="75"/>
      <c r="AR60" s="15"/>
      <c r="AS60" s="15"/>
      <c r="AT60" s="15"/>
      <c r="AU60" s="15"/>
      <c r="AV60" s="15"/>
      <c r="AW60" s="15"/>
      <c r="AX60" s="15"/>
      <c r="AY60" s="15"/>
      <c r="AZ60" s="15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</row>
    <row r="61" spans="1:76" ht="80.099999999999994" customHeight="1" thickBot="1" x14ac:dyDescent="0.25">
      <c r="A61" s="145"/>
      <c r="B61" s="150" t="s">
        <v>7</v>
      </c>
      <c r="C61" s="133" t="s">
        <v>42</v>
      </c>
      <c r="D61" s="134" t="s">
        <v>77</v>
      </c>
      <c r="E61" s="103">
        <v>1042.6000000000001</v>
      </c>
      <c r="F61" s="103">
        <v>1123.2</v>
      </c>
      <c r="G61" s="103">
        <v>1203.8</v>
      </c>
      <c r="H61" s="103">
        <v>1244.1000000000001</v>
      </c>
      <c r="I61" s="103">
        <v>1303.9000000000001</v>
      </c>
      <c r="J61" s="103">
        <v>1344.2</v>
      </c>
      <c r="K61" s="103">
        <v>1424.8</v>
      </c>
      <c r="L61" s="103">
        <v>1526.2</v>
      </c>
      <c r="M61" s="103">
        <v>1606.8</v>
      </c>
      <c r="N61" s="73"/>
      <c r="O61" s="74"/>
      <c r="P61" s="75"/>
      <c r="Q61" s="15"/>
      <c r="R61" s="15"/>
      <c r="S61" s="15"/>
      <c r="T61" s="15"/>
      <c r="U61" s="15"/>
      <c r="V61" s="15"/>
      <c r="W61" s="15"/>
      <c r="X61" s="15"/>
      <c r="Y61" s="15"/>
      <c r="Z61" s="3"/>
      <c r="AA61" s="3"/>
      <c r="AB61" s="73"/>
      <c r="AC61" s="74"/>
      <c r="AD61" s="75"/>
      <c r="AE61" s="15"/>
      <c r="AF61" s="15"/>
      <c r="AG61" s="15"/>
      <c r="AH61" s="15"/>
      <c r="AI61" s="15"/>
      <c r="AJ61" s="15"/>
      <c r="AK61" s="15"/>
      <c r="AL61" s="15"/>
      <c r="AM61" s="15"/>
      <c r="AN61" s="3"/>
      <c r="AO61" s="73"/>
      <c r="AP61" s="74"/>
      <c r="AQ61" s="75"/>
      <c r="AR61" s="15"/>
      <c r="AS61" s="15"/>
      <c r="AT61" s="15"/>
      <c r="AU61" s="15"/>
      <c r="AV61" s="15"/>
      <c r="AW61" s="15"/>
      <c r="AX61" s="15"/>
      <c r="AY61" s="15"/>
      <c r="AZ61" s="15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76" ht="80.099999999999994" customHeight="1" thickBot="1" x14ac:dyDescent="0.25">
      <c r="A62" s="145"/>
      <c r="B62" s="144" t="s">
        <v>147</v>
      </c>
      <c r="C62" s="133" t="s">
        <v>69</v>
      </c>
      <c r="D62" s="135" t="s">
        <v>102</v>
      </c>
      <c r="E62" s="103">
        <v>5124.6000000000004</v>
      </c>
      <c r="F62" s="103">
        <v>5531.5</v>
      </c>
      <c r="G62" s="103">
        <v>5937.1</v>
      </c>
      <c r="H62" s="103">
        <v>6141.2</v>
      </c>
      <c r="I62" s="103">
        <v>6446.7</v>
      </c>
      <c r="J62" s="103">
        <v>6649.5</v>
      </c>
      <c r="K62" s="103">
        <v>7056.4000000000005</v>
      </c>
      <c r="L62" s="103">
        <v>7564.7</v>
      </c>
      <c r="M62" s="103">
        <v>7971.6</v>
      </c>
      <c r="N62" s="76"/>
      <c r="O62" s="74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3"/>
      <c r="AA62" s="3"/>
      <c r="AB62" s="76"/>
      <c r="AC62" s="74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3"/>
      <c r="AO62" s="73"/>
      <c r="AP62" s="74"/>
      <c r="AQ62" s="75"/>
      <c r="AR62" s="15"/>
      <c r="AS62" s="15"/>
      <c r="AT62" s="15"/>
      <c r="AU62" s="15"/>
      <c r="AV62" s="15"/>
      <c r="AW62" s="15"/>
      <c r="AX62" s="15"/>
      <c r="AY62" s="15"/>
      <c r="AZ62" s="15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</row>
    <row r="63" spans="1:76" ht="80.099999999999994" customHeight="1" thickBot="1" x14ac:dyDescent="0.25">
      <c r="A63" s="145"/>
      <c r="B63" s="144" t="s">
        <v>36</v>
      </c>
      <c r="C63" s="133" t="s">
        <v>68</v>
      </c>
      <c r="D63" s="135" t="s">
        <v>101</v>
      </c>
      <c r="E63" s="103">
        <v>6969.3</v>
      </c>
      <c r="F63" s="103">
        <v>7350.2</v>
      </c>
      <c r="G63" s="103">
        <v>7785.7</v>
      </c>
      <c r="H63" s="103">
        <v>8004.1</v>
      </c>
      <c r="I63" s="103">
        <v>8330.4</v>
      </c>
      <c r="J63" s="103">
        <v>8548.8000000000011</v>
      </c>
      <c r="K63" s="103">
        <v>8984.3000000000011</v>
      </c>
      <c r="L63" s="103">
        <v>9529</v>
      </c>
      <c r="M63" s="103">
        <v>9964.5</v>
      </c>
      <c r="N63" s="76"/>
      <c r="O63" s="74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3"/>
      <c r="AA63" s="3"/>
      <c r="AB63" s="76"/>
      <c r="AC63" s="74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3"/>
      <c r="AO63" s="73"/>
      <c r="AP63" s="74"/>
      <c r="AQ63" s="75"/>
      <c r="AR63" s="15"/>
      <c r="AS63" s="15"/>
      <c r="AT63" s="15"/>
      <c r="AU63" s="15"/>
      <c r="AV63" s="15"/>
      <c r="AW63" s="15"/>
      <c r="AX63" s="15"/>
      <c r="AY63" s="15"/>
      <c r="AZ63" s="15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</row>
    <row r="64" spans="1:76" ht="80.099999999999994" customHeight="1" thickBot="1" x14ac:dyDescent="0.25">
      <c r="A64" s="145"/>
      <c r="B64" s="144" t="s">
        <v>17</v>
      </c>
      <c r="C64" s="133" t="s">
        <v>62</v>
      </c>
      <c r="D64" s="134" t="s">
        <v>22</v>
      </c>
      <c r="E64" s="103">
        <v>4004</v>
      </c>
      <c r="F64" s="103">
        <v>4251</v>
      </c>
      <c r="G64" s="103">
        <v>4498</v>
      </c>
      <c r="H64" s="103">
        <v>4621.5</v>
      </c>
      <c r="I64" s="103">
        <v>4806.1000000000004</v>
      </c>
      <c r="J64" s="103">
        <v>4929.6000000000004</v>
      </c>
      <c r="K64" s="103">
        <v>5176.6000000000004</v>
      </c>
      <c r="L64" s="103">
        <v>5486</v>
      </c>
      <c r="M64" s="103">
        <v>5733</v>
      </c>
      <c r="N64" s="76"/>
      <c r="O64" s="74"/>
      <c r="P64" s="75"/>
      <c r="Q64" s="15"/>
      <c r="R64" s="15"/>
      <c r="S64" s="15"/>
      <c r="T64" s="15"/>
      <c r="U64" s="15"/>
      <c r="V64" s="15"/>
      <c r="W64" s="15"/>
      <c r="X64" s="15"/>
      <c r="Y64" s="15"/>
      <c r="Z64" s="3"/>
      <c r="AA64" s="3"/>
      <c r="AB64" s="76"/>
      <c r="AC64" s="74"/>
      <c r="AD64" s="75"/>
      <c r="AE64" s="15"/>
      <c r="AF64" s="15"/>
      <c r="AG64" s="15"/>
      <c r="AH64" s="15"/>
      <c r="AI64" s="15"/>
      <c r="AJ64" s="15"/>
      <c r="AK64" s="15"/>
      <c r="AL64" s="15"/>
      <c r="AM64" s="15"/>
      <c r="AN64" s="3"/>
      <c r="AO64" s="73"/>
      <c r="AP64" s="74"/>
      <c r="AQ64" s="75"/>
      <c r="AR64" s="15"/>
      <c r="AS64" s="15"/>
      <c r="AT64" s="15"/>
      <c r="AU64" s="15"/>
      <c r="AV64" s="15"/>
      <c r="AW64" s="15"/>
      <c r="AX64" s="15"/>
      <c r="AY64" s="15"/>
      <c r="AZ64" s="15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</row>
    <row r="65" spans="1:76" ht="80.099999999999994" customHeight="1" thickBot="1" x14ac:dyDescent="0.25">
      <c r="A65" s="145"/>
      <c r="B65" s="144" t="s">
        <v>14</v>
      </c>
      <c r="C65" s="133" t="s">
        <v>61</v>
      </c>
      <c r="D65" s="134" t="s">
        <v>15</v>
      </c>
      <c r="E65" s="103">
        <v>4200.3</v>
      </c>
      <c r="F65" s="103">
        <v>4491.5</v>
      </c>
      <c r="G65" s="103">
        <v>4782.7</v>
      </c>
      <c r="H65" s="103">
        <v>4928.3</v>
      </c>
      <c r="I65" s="103">
        <v>5146.7</v>
      </c>
      <c r="J65" s="103">
        <v>5292.3</v>
      </c>
      <c r="K65" s="103">
        <v>5583.5</v>
      </c>
      <c r="L65" s="103">
        <v>5947.5</v>
      </c>
      <c r="M65" s="103">
        <v>6238.7</v>
      </c>
      <c r="N65" s="76"/>
      <c r="O65" s="74"/>
      <c r="P65" s="75"/>
      <c r="Q65" s="15"/>
      <c r="R65" s="15"/>
      <c r="S65" s="15"/>
      <c r="T65" s="15"/>
      <c r="U65" s="15"/>
      <c r="V65" s="15"/>
      <c r="W65" s="15"/>
      <c r="X65" s="15"/>
      <c r="Y65" s="15"/>
      <c r="Z65" s="3"/>
      <c r="AA65" s="3"/>
      <c r="AB65" s="76"/>
      <c r="AC65" s="74"/>
      <c r="AD65" s="75"/>
      <c r="AE65" s="15"/>
      <c r="AF65" s="15"/>
      <c r="AG65" s="15"/>
      <c r="AH65" s="15"/>
      <c r="AI65" s="15"/>
      <c r="AJ65" s="15"/>
      <c r="AK65" s="15"/>
      <c r="AL65" s="15"/>
      <c r="AM65" s="15"/>
      <c r="AN65" s="3"/>
      <c r="AO65" s="73"/>
      <c r="AP65" s="74"/>
      <c r="AQ65" s="75"/>
      <c r="AR65" s="15"/>
      <c r="AS65" s="15"/>
      <c r="AT65" s="15"/>
      <c r="AU65" s="15"/>
      <c r="AV65" s="15"/>
      <c r="AW65" s="15"/>
      <c r="AX65" s="15"/>
      <c r="AY65" s="15"/>
      <c r="AZ65" s="15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</row>
    <row r="66" spans="1:76" ht="80.099999999999994" customHeight="1" thickBot="1" x14ac:dyDescent="0.25">
      <c r="A66" s="145"/>
      <c r="B66" s="144" t="s">
        <v>20</v>
      </c>
      <c r="C66" s="133" t="s">
        <v>66</v>
      </c>
      <c r="D66" s="135" t="s">
        <v>67</v>
      </c>
      <c r="E66" s="103">
        <v>3911.7000000000003</v>
      </c>
      <c r="F66" s="103">
        <v>4218.5</v>
      </c>
      <c r="G66" s="103">
        <v>4525.3</v>
      </c>
      <c r="H66" s="103">
        <v>4678.7</v>
      </c>
      <c r="I66" s="103">
        <v>4908.8</v>
      </c>
      <c r="J66" s="103">
        <v>5062.2</v>
      </c>
      <c r="K66" s="103">
        <v>5369</v>
      </c>
      <c r="L66" s="103">
        <v>5752.5</v>
      </c>
      <c r="M66" s="103">
        <v>6059.3</v>
      </c>
      <c r="N66" s="76"/>
      <c r="O66" s="74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3"/>
      <c r="AA66" s="3"/>
      <c r="AB66" s="76"/>
      <c r="AC66" s="74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3"/>
      <c r="AO66" s="73"/>
      <c r="AP66" s="74"/>
      <c r="AQ66" s="75"/>
      <c r="AR66" s="15"/>
      <c r="AS66" s="15"/>
      <c r="AT66" s="15"/>
      <c r="AU66" s="15"/>
      <c r="AV66" s="15"/>
      <c r="AW66" s="15"/>
      <c r="AX66" s="15"/>
      <c r="AY66" s="15"/>
      <c r="AZ66" s="15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</row>
    <row r="67" spans="1:76" ht="80.099999999999994" customHeight="1" thickBot="1" x14ac:dyDescent="0.25">
      <c r="A67" s="145"/>
      <c r="B67" s="144" t="s">
        <v>169</v>
      </c>
      <c r="C67" s="133" t="s">
        <v>67</v>
      </c>
      <c r="D67" s="135" t="s">
        <v>100</v>
      </c>
      <c r="E67" s="103">
        <v>4466.8</v>
      </c>
      <c r="F67" s="103">
        <v>4875</v>
      </c>
      <c r="G67" s="103">
        <v>5283.2</v>
      </c>
      <c r="H67" s="103">
        <v>5487.3</v>
      </c>
      <c r="I67" s="103">
        <v>5794.1</v>
      </c>
      <c r="J67" s="103">
        <v>5998.2</v>
      </c>
      <c r="K67" s="103">
        <v>6406.4000000000005</v>
      </c>
      <c r="L67" s="103">
        <v>6916</v>
      </c>
      <c r="M67" s="103">
        <v>7324.2</v>
      </c>
      <c r="N67" s="76"/>
      <c r="O67" s="74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3"/>
      <c r="AA67" s="3"/>
      <c r="AB67" s="76"/>
      <c r="AC67" s="74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3"/>
      <c r="AO67" s="73"/>
      <c r="AP67" s="74"/>
      <c r="AQ67" s="75"/>
      <c r="AR67" s="15"/>
      <c r="AS67" s="15"/>
      <c r="AT67" s="15"/>
      <c r="AU67" s="15"/>
      <c r="AV67" s="15"/>
      <c r="AW67" s="15"/>
      <c r="AX67" s="15"/>
      <c r="AY67" s="15"/>
      <c r="AZ67" s="15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</row>
    <row r="68" spans="1:76" ht="80.099999999999994" customHeight="1" thickBot="1" x14ac:dyDescent="0.25">
      <c r="A68" s="145"/>
      <c r="B68" s="144" t="s">
        <v>148</v>
      </c>
      <c r="C68" s="133" t="s">
        <v>153</v>
      </c>
      <c r="D68" s="135" t="s">
        <v>154</v>
      </c>
      <c r="E68" s="103">
        <v>6263.4000000000005</v>
      </c>
      <c r="F68" s="103">
        <v>6645.6</v>
      </c>
      <c r="G68" s="103">
        <v>7027.8</v>
      </c>
      <c r="H68" s="103">
        <v>7218.9000000000005</v>
      </c>
      <c r="I68" s="103">
        <v>7506.2</v>
      </c>
      <c r="J68" s="103">
        <v>7697.3</v>
      </c>
      <c r="K68" s="103">
        <v>8079.5</v>
      </c>
      <c r="L68" s="103">
        <v>8556.6</v>
      </c>
      <c r="M68" s="103">
        <v>8938.8000000000011</v>
      </c>
      <c r="N68" s="76"/>
      <c r="O68" s="74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3"/>
      <c r="AA68" s="3"/>
      <c r="AB68" s="76"/>
      <c r="AC68" s="74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3"/>
      <c r="AO68" s="73"/>
      <c r="AP68" s="74"/>
      <c r="AQ68" s="75"/>
      <c r="AR68" s="15"/>
      <c r="AS68" s="15"/>
      <c r="AT68" s="15"/>
      <c r="AU68" s="15"/>
      <c r="AV68" s="15"/>
      <c r="AW68" s="15"/>
      <c r="AX68" s="15"/>
      <c r="AY68" s="15"/>
      <c r="AZ68" s="15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</row>
    <row r="69" spans="1:76" ht="80.099999999999994" customHeight="1" thickBot="1" x14ac:dyDescent="0.25">
      <c r="A69" s="145"/>
      <c r="B69" s="144" t="s">
        <v>18</v>
      </c>
      <c r="C69" s="133" t="s">
        <v>63</v>
      </c>
      <c r="D69" s="134" t="s">
        <v>23</v>
      </c>
      <c r="E69" s="103">
        <v>3903.9</v>
      </c>
      <c r="F69" s="103">
        <v>4239.3</v>
      </c>
      <c r="G69" s="103">
        <v>4574.7</v>
      </c>
      <c r="H69" s="103">
        <v>4742.4000000000005</v>
      </c>
      <c r="I69" s="103">
        <v>4994.6000000000004</v>
      </c>
      <c r="J69" s="103">
        <v>5162.3</v>
      </c>
      <c r="K69" s="103">
        <v>5497.7</v>
      </c>
      <c r="L69" s="103">
        <v>5916.3</v>
      </c>
      <c r="M69" s="103">
        <v>6251.7</v>
      </c>
      <c r="N69" s="76"/>
      <c r="O69" s="74"/>
      <c r="P69" s="75"/>
      <c r="Q69" s="15"/>
      <c r="R69" s="15"/>
      <c r="S69" s="15"/>
      <c r="T69" s="15"/>
      <c r="U69" s="15"/>
      <c r="V69" s="15"/>
      <c r="W69" s="15"/>
      <c r="X69" s="15"/>
      <c r="Y69" s="15"/>
      <c r="Z69" s="3"/>
      <c r="AA69" s="3"/>
      <c r="AB69" s="76"/>
      <c r="AC69" s="74"/>
      <c r="AD69" s="75"/>
      <c r="AE69" s="15"/>
      <c r="AF69" s="15"/>
      <c r="AG69" s="15"/>
      <c r="AH69" s="15"/>
      <c r="AI69" s="15"/>
      <c r="AJ69" s="15"/>
      <c r="AK69" s="15"/>
      <c r="AL69" s="15"/>
      <c r="AM69" s="15"/>
      <c r="AN69" s="3"/>
      <c r="AO69" s="73"/>
      <c r="AP69" s="74"/>
      <c r="AQ69" s="75"/>
      <c r="AR69" s="15"/>
      <c r="AS69" s="15"/>
      <c r="AT69" s="15"/>
      <c r="AU69" s="15"/>
      <c r="AV69" s="15"/>
      <c r="AW69" s="15"/>
      <c r="AX69" s="15"/>
      <c r="AY69" s="15"/>
      <c r="AZ69" s="15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</row>
    <row r="70" spans="1:76" ht="80.099999999999994" customHeight="1" thickBot="1" x14ac:dyDescent="0.25">
      <c r="A70" s="145"/>
      <c r="B70" s="144" t="s">
        <v>166</v>
      </c>
      <c r="C70" s="133" t="s">
        <v>185</v>
      </c>
      <c r="D70" s="135" t="s">
        <v>186</v>
      </c>
      <c r="E70" s="103">
        <v>5411.9000000000005</v>
      </c>
      <c r="F70" s="103">
        <v>5752.5</v>
      </c>
      <c r="G70" s="103">
        <v>6093.1</v>
      </c>
      <c r="H70" s="103">
        <v>6263.4000000000005</v>
      </c>
      <c r="I70" s="103">
        <v>6519.5</v>
      </c>
      <c r="J70" s="103">
        <v>6689.8</v>
      </c>
      <c r="K70" s="103">
        <v>7030.4000000000005</v>
      </c>
      <c r="L70" s="103">
        <v>7455.5</v>
      </c>
      <c r="M70" s="103">
        <v>7796.1</v>
      </c>
      <c r="N70" s="76"/>
      <c r="O70" s="74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3"/>
      <c r="AA70" s="3"/>
      <c r="AB70" s="76"/>
      <c r="AC70" s="74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3"/>
      <c r="AO70" s="73"/>
      <c r="AP70" s="74"/>
      <c r="AQ70" s="75"/>
      <c r="AR70" s="15"/>
      <c r="AS70" s="15"/>
      <c r="AT70" s="15"/>
      <c r="AU70" s="15"/>
      <c r="AV70" s="15"/>
      <c r="AW70" s="15"/>
      <c r="AX70" s="15"/>
      <c r="AY70" s="15"/>
      <c r="AZ70" s="15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</row>
    <row r="71" spans="1:76" ht="39.950000000000003" customHeight="1" x14ac:dyDescent="0.2">
      <c r="A71" s="154"/>
      <c r="B71" s="144" t="s">
        <v>192</v>
      </c>
      <c r="C71" s="133" t="s">
        <v>183</v>
      </c>
      <c r="D71" s="135" t="s">
        <v>184</v>
      </c>
      <c r="E71" s="103">
        <v>5125.9000000000005</v>
      </c>
      <c r="F71" s="103">
        <v>5515.9000000000005</v>
      </c>
      <c r="G71" s="103">
        <v>5905.9000000000005</v>
      </c>
      <c r="H71" s="103">
        <v>6100.9000000000005</v>
      </c>
      <c r="I71" s="103">
        <v>6393.4000000000005</v>
      </c>
      <c r="J71" s="103">
        <v>6588.4000000000005</v>
      </c>
      <c r="K71" s="103">
        <v>6978.4000000000005</v>
      </c>
      <c r="L71" s="103">
        <v>7465.9000000000005</v>
      </c>
      <c r="M71" s="103">
        <v>7855.9000000000005</v>
      </c>
      <c r="N71" s="76"/>
      <c r="O71" s="74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3"/>
      <c r="AA71" s="3"/>
      <c r="AB71" s="76"/>
      <c r="AC71" s="74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3"/>
      <c r="AO71" s="76"/>
      <c r="AP71" s="74"/>
      <c r="AQ71" s="75"/>
      <c r="AR71" s="15"/>
      <c r="AS71" s="15"/>
      <c r="AT71" s="15"/>
      <c r="AU71" s="15"/>
      <c r="AV71" s="15"/>
      <c r="AW71" s="15"/>
      <c r="AX71" s="15"/>
      <c r="AY71" s="15"/>
      <c r="AZ71" s="15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</row>
    <row r="72" spans="1:76" ht="39.950000000000003" customHeight="1" thickBot="1" x14ac:dyDescent="0.25">
      <c r="A72" s="155"/>
      <c r="B72" s="144" t="s">
        <v>193</v>
      </c>
      <c r="C72" s="133" t="s">
        <v>183</v>
      </c>
      <c r="D72" s="135" t="s">
        <v>184</v>
      </c>
      <c r="E72" s="103">
        <v>5379.4000000000005</v>
      </c>
      <c r="F72" s="103">
        <v>5769.4000000000005</v>
      </c>
      <c r="G72" s="103">
        <v>6159.4000000000005</v>
      </c>
      <c r="H72" s="103">
        <v>6354.4000000000005</v>
      </c>
      <c r="I72" s="103">
        <v>6646.9000000000005</v>
      </c>
      <c r="J72" s="103">
        <v>6841.9000000000005</v>
      </c>
      <c r="K72" s="103">
        <v>7231.9000000000005</v>
      </c>
      <c r="L72" s="103">
        <v>7719.4000000000005</v>
      </c>
      <c r="M72" s="103">
        <v>8109.4000000000005</v>
      </c>
      <c r="N72" s="76"/>
      <c r="O72" s="74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3"/>
      <c r="AA72" s="3"/>
      <c r="AB72" s="76"/>
      <c r="AC72" s="74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3"/>
      <c r="AO72" s="76"/>
      <c r="AP72" s="74"/>
      <c r="AQ72" s="75"/>
      <c r="AR72" s="15"/>
      <c r="AS72" s="15"/>
      <c r="AT72" s="15"/>
      <c r="AU72" s="15"/>
      <c r="AV72" s="15"/>
      <c r="AW72" s="15"/>
      <c r="AX72" s="15"/>
      <c r="AY72" s="15"/>
      <c r="AZ72" s="15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</row>
    <row r="73" spans="1:76" ht="80.099999999999994" customHeight="1" thickBot="1" x14ac:dyDescent="0.25">
      <c r="A73" s="145"/>
      <c r="B73" s="144" t="s">
        <v>37</v>
      </c>
      <c r="C73" s="133" t="s">
        <v>114</v>
      </c>
      <c r="D73" s="135" t="s">
        <v>117</v>
      </c>
      <c r="E73" s="103">
        <v>1687.4</v>
      </c>
      <c r="F73" s="103">
        <v>1794</v>
      </c>
      <c r="G73" s="103">
        <v>1900.6000000000001</v>
      </c>
      <c r="H73" s="103">
        <v>1953.9</v>
      </c>
      <c r="I73" s="103">
        <v>2033.2</v>
      </c>
      <c r="J73" s="103">
        <v>2086.5</v>
      </c>
      <c r="K73" s="103">
        <v>2193.1</v>
      </c>
      <c r="L73" s="103">
        <v>2327</v>
      </c>
      <c r="M73" s="103">
        <v>2433.6</v>
      </c>
      <c r="N73" s="76"/>
      <c r="O73" s="74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3"/>
      <c r="AA73" s="3"/>
      <c r="AB73" s="76"/>
      <c r="AC73" s="74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</row>
    <row r="74" spans="1:76" ht="80.099999999999994" customHeight="1" thickBot="1" x14ac:dyDescent="0.25">
      <c r="A74" s="145"/>
      <c r="B74" s="153" t="s">
        <v>149</v>
      </c>
      <c r="C74" s="133" t="s">
        <v>114</v>
      </c>
      <c r="D74" s="134" t="s">
        <v>97</v>
      </c>
      <c r="E74" s="103">
        <v>1242.8</v>
      </c>
      <c r="F74" s="103">
        <v>1346.8</v>
      </c>
      <c r="G74" s="103">
        <v>1450.8</v>
      </c>
      <c r="H74" s="103">
        <v>1502.8</v>
      </c>
      <c r="I74" s="103">
        <v>1580.8</v>
      </c>
      <c r="J74" s="103">
        <v>1632.8</v>
      </c>
      <c r="K74" s="103">
        <v>1736.8</v>
      </c>
      <c r="L74" s="103">
        <v>1866.8</v>
      </c>
      <c r="M74" s="103">
        <v>1970.8</v>
      </c>
      <c r="N74" s="89"/>
      <c r="O74" s="74"/>
      <c r="P74" s="75"/>
      <c r="Q74" s="15"/>
      <c r="R74" s="15"/>
      <c r="S74" s="15"/>
      <c r="T74" s="15"/>
      <c r="U74" s="15"/>
      <c r="V74" s="15"/>
      <c r="W74" s="15"/>
      <c r="X74" s="15"/>
      <c r="Y74" s="15"/>
      <c r="Z74" s="3"/>
      <c r="AA74" s="3"/>
      <c r="AB74" s="73"/>
      <c r="AC74" s="74"/>
      <c r="AD74" s="75"/>
      <c r="AE74" s="15"/>
      <c r="AF74" s="15"/>
      <c r="AG74" s="15"/>
      <c r="AH74" s="15"/>
      <c r="AI74" s="15"/>
      <c r="AJ74" s="15"/>
      <c r="AK74" s="15"/>
      <c r="AL74" s="15"/>
      <c r="AM74" s="15"/>
      <c r="AN74" s="3"/>
      <c r="AO74" s="76"/>
      <c r="AP74" s="74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</row>
    <row r="75" spans="1:76" ht="80.099999999999994" customHeight="1" thickBot="1" x14ac:dyDescent="0.25">
      <c r="A75" s="145"/>
      <c r="B75" s="153" t="s">
        <v>16</v>
      </c>
      <c r="C75" s="133" t="s">
        <v>114</v>
      </c>
      <c r="D75" s="134" t="s">
        <v>93</v>
      </c>
      <c r="E75" s="103">
        <v>1462.5</v>
      </c>
      <c r="F75" s="103">
        <v>1592.5</v>
      </c>
      <c r="G75" s="103">
        <v>1722.5</v>
      </c>
      <c r="H75" s="103">
        <v>1787.5</v>
      </c>
      <c r="I75" s="103">
        <v>1885</v>
      </c>
      <c r="J75" s="103">
        <v>1950</v>
      </c>
      <c r="K75" s="103">
        <v>2080</v>
      </c>
      <c r="L75" s="103">
        <v>2242.5</v>
      </c>
      <c r="M75" s="103">
        <v>2372.5</v>
      </c>
      <c r="N75" s="89"/>
      <c r="O75" s="74"/>
      <c r="P75" s="75"/>
      <c r="Q75" s="15"/>
      <c r="R75" s="15"/>
      <c r="S75" s="15"/>
      <c r="T75" s="15"/>
      <c r="U75" s="15"/>
      <c r="V75" s="15"/>
      <c r="W75" s="15"/>
      <c r="X75" s="15"/>
      <c r="Y75" s="15"/>
      <c r="Z75" s="3"/>
      <c r="AA75" s="3"/>
      <c r="AB75" s="73"/>
      <c r="AC75" s="74"/>
      <c r="AD75" s="75"/>
      <c r="AE75" s="15"/>
      <c r="AF75" s="15"/>
      <c r="AG75" s="15"/>
      <c r="AH75" s="15"/>
      <c r="AI75" s="15"/>
      <c r="AJ75" s="15"/>
      <c r="AK75" s="15"/>
      <c r="AL75" s="15"/>
      <c r="AM75" s="15"/>
      <c r="AN75" s="3"/>
      <c r="AO75" s="76"/>
      <c r="AP75" s="74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</row>
    <row r="76" spans="1:76" x14ac:dyDescent="0.2"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D76" s="83"/>
      <c r="BE76" s="83"/>
      <c r="BF76" s="83"/>
      <c r="BG76" s="83"/>
      <c r="BH76" s="8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</row>
    <row r="77" spans="1:76" x14ac:dyDescent="0.2"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D77" s="83"/>
      <c r="BE77" s="83"/>
      <c r="BF77" s="83"/>
      <c r="BG77" s="83"/>
      <c r="BH77" s="8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</row>
    <row r="78" spans="1:76" x14ac:dyDescent="0.2">
      <c r="B78" s="76"/>
      <c r="C78" s="74"/>
      <c r="D78" s="75"/>
      <c r="E78" s="15"/>
      <c r="F78" s="15"/>
      <c r="G78" s="15"/>
      <c r="H78" s="15"/>
      <c r="I78" s="15"/>
      <c r="J78" s="15"/>
      <c r="K78" s="15"/>
      <c r="L78" s="15"/>
      <c r="M78" s="15"/>
      <c r="N78" s="76"/>
      <c r="O78" s="74"/>
      <c r="P78" s="75"/>
      <c r="Q78" s="15"/>
      <c r="R78" s="15"/>
      <c r="S78" s="15"/>
      <c r="T78" s="15"/>
      <c r="U78" s="15"/>
      <c r="V78" s="15"/>
      <c r="W78" s="15"/>
      <c r="X78" s="15"/>
      <c r="Y78" s="15"/>
      <c r="Z78" s="3"/>
      <c r="AA78" s="3"/>
      <c r="AB78" s="76"/>
      <c r="AC78" s="74"/>
      <c r="AD78" s="75"/>
      <c r="AE78" s="15"/>
      <c r="AF78" s="15"/>
      <c r="AG78" s="15"/>
      <c r="AH78" s="15"/>
      <c r="AI78" s="15"/>
      <c r="AJ78" s="15"/>
      <c r="AK78" s="15"/>
      <c r="AL78" s="15"/>
      <c r="AM78" s="15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</row>
    <row r="79" spans="1:76" x14ac:dyDescent="0.2">
      <c r="B79" s="163"/>
      <c r="C79" s="163"/>
      <c r="D79" s="163"/>
      <c r="E79" s="163"/>
      <c r="F79" s="15"/>
      <c r="G79" s="15"/>
      <c r="H79" s="15"/>
      <c r="I79" s="15"/>
      <c r="J79" s="15"/>
      <c r="K79" s="15"/>
      <c r="L79" s="15"/>
      <c r="M79" s="15"/>
      <c r="N79" s="76"/>
      <c r="O79" s="74"/>
      <c r="P79" s="75"/>
      <c r="Q79" s="15"/>
      <c r="R79" s="15"/>
      <c r="S79" s="15"/>
      <c r="T79" s="15"/>
      <c r="U79" s="15"/>
      <c r="V79" s="15"/>
      <c r="W79" s="15"/>
      <c r="X79" s="15"/>
      <c r="Y79" s="15"/>
      <c r="Z79" s="3"/>
      <c r="AA79" s="3"/>
      <c r="AB79" s="76"/>
      <c r="AC79" s="74"/>
      <c r="AD79" s="75"/>
      <c r="AE79" s="15"/>
      <c r="AF79" s="15"/>
      <c r="AG79" s="15"/>
      <c r="AH79" s="15"/>
      <c r="AI79" s="15"/>
      <c r="AJ79" s="15"/>
      <c r="AK79" s="15"/>
      <c r="AL79" s="15"/>
      <c r="AM79" s="15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</row>
    <row r="80" spans="1:76" x14ac:dyDescent="0.2"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63"/>
      <c r="P80" s="163"/>
      <c r="Q80" s="15"/>
      <c r="R80" s="15"/>
      <c r="S80" s="15"/>
      <c r="T80" s="15"/>
      <c r="U80" s="15"/>
      <c r="V80" s="15"/>
      <c r="W80" s="15"/>
      <c r="X80" s="15"/>
      <c r="Y80" s="15"/>
      <c r="Z80" s="3"/>
      <c r="AA80" s="3"/>
      <c r="AB80" s="15"/>
      <c r="AC80" s="163"/>
      <c r="AD80" s="163"/>
      <c r="AE80" s="15"/>
      <c r="AF80" s="15"/>
      <c r="AG80" s="15"/>
      <c r="AH80" s="15"/>
      <c r="AI80" s="15"/>
      <c r="AJ80" s="15"/>
      <c r="AK80" s="15"/>
      <c r="AL80" s="15"/>
      <c r="AM80" s="15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</row>
    <row r="81" spans="2:76" ht="20.25" x14ac:dyDescent="0.3">
      <c r="B81" s="15"/>
      <c r="C81" s="15"/>
      <c r="D81" s="15"/>
      <c r="E81" s="10"/>
      <c r="F81" s="9"/>
      <c r="G81" s="9"/>
      <c r="H81" s="9"/>
      <c r="I81" s="9"/>
      <c r="J81" s="9"/>
      <c r="K81" s="9"/>
      <c r="L81" s="9"/>
      <c r="M81" s="9"/>
      <c r="N81" s="15"/>
      <c r="O81" s="15"/>
      <c r="P81" s="15"/>
      <c r="Q81" s="10"/>
      <c r="R81" s="9"/>
      <c r="S81" s="9"/>
      <c r="T81" s="9"/>
      <c r="U81" s="9"/>
      <c r="V81" s="9"/>
      <c r="W81" s="9"/>
      <c r="X81" s="9"/>
      <c r="Y81" s="9"/>
      <c r="Z81" s="3"/>
      <c r="AA81" s="3"/>
      <c r="AB81" s="15"/>
      <c r="AC81" s="15"/>
      <c r="AD81" s="15"/>
      <c r="AE81" s="10"/>
      <c r="AF81" s="9"/>
      <c r="AG81" s="9"/>
      <c r="AH81" s="9"/>
      <c r="AI81" s="9"/>
      <c r="AJ81" s="9"/>
      <c r="AK81" s="9"/>
      <c r="AL81" s="9"/>
      <c r="AM81" s="9"/>
      <c r="AN81" s="3"/>
      <c r="AO81" s="7"/>
      <c r="AP81" s="5"/>
      <c r="AQ81" s="79"/>
      <c r="AR81" s="5"/>
      <c r="AS81" s="5"/>
      <c r="AT81" s="3"/>
      <c r="AU81" s="80"/>
      <c r="AV81" s="11"/>
      <c r="AW81" s="11"/>
      <c r="AX81" s="8"/>
      <c r="AY81" s="8"/>
      <c r="AZ81" s="5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</row>
    <row r="82" spans="2:76" x14ac:dyDescent="0.2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5"/>
      <c r="O82" s="166"/>
      <c r="P82" s="166"/>
      <c r="Q82" s="5"/>
      <c r="R82" s="5"/>
      <c r="S82" s="5"/>
      <c r="T82" s="5"/>
      <c r="U82" s="5"/>
      <c r="V82" s="5"/>
      <c r="W82" s="5"/>
      <c r="X82" s="5"/>
      <c r="Y82" s="5"/>
      <c r="Z82" s="3"/>
      <c r="AA82" s="3"/>
      <c r="AB82" s="5"/>
      <c r="AC82" s="166"/>
      <c r="AD82" s="166"/>
      <c r="AE82" s="5"/>
      <c r="AF82" s="5"/>
      <c r="AG82" s="5"/>
      <c r="AH82" s="5"/>
      <c r="AI82" s="5"/>
      <c r="AJ82" s="5"/>
      <c r="AK82" s="5"/>
      <c r="AL82" s="5"/>
      <c r="AM82" s="5"/>
      <c r="AN82" s="3"/>
      <c r="AO82" s="5"/>
      <c r="AP82" s="166"/>
      <c r="AQ82" s="166"/>
      <c r="AR82" s="5"/>
      <c r="AS82" s="5"/>
      <c r="AT82" s="5"/>
      <c r="AU82" s="5"/>
      <c r="AV82" s="5"/>
      <c r="AW82" s="5"/>
      <c r="AX82" s="5"/>
      <c r="AY82" s="5"/>
      <c r="AZ82" s="5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</row>
    <row r="83" spans="2:76" x14ac:dyDescent="0.2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168"/>
      <c r="O83" s="168"/>
      <c r="P83" s="168"/>
      <c r="Q83" s="168"/>
      <c r="R83" s="167"/>
      <c r="S83" s="169"/>
      <c r="T83" s="169"/>
      <c r="U83" s="169"/>
      <c r="V83" s="169"/>
      <c r="W83" s="169"/>
      <c r="X83" s="169"/>
      <c r="Y83" s="169"/>
      <c r="Z83" s="3"/>
      <c r="AA83" s="3"/>
      <c r="AB83" s="168"/>
      <c r="AC83" s="168"/>
      <c r="AD83" s="168"/>
      <c r="AE83" s="168"/>
      <c r="AF83" s="167"/>
      <c r="AG83" s="169"/>
      <c r="AH83" s="169"/>
      <c r="AI83" s="169"/>
      <c r="AJ83" s="169"/>
      <c r="AK83" s="169"/>
      <c r="AL83" s="169"/>
      <c r="AM83" s="169"/>
      <c r="AN83" s="3"/>
      <c r="AO83" s="168"/>
      <c r="AP83" s="168"/>
      <c r="AQ83" s="168"/>
      <c r="AR83" s="168"/>
      <c r="AS83" s="167"/>
      <c r="AT83" s="167"/>
      <c r="AU83" s="167"/>
      <c r="AV83" s="167"/>
      <c r="AW83" s="167"/>
      <c r="AX83" s="167"/>
      <c r="AY83" s="167"/>
      <c r="AZ83" s="167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</row>
    <row r="84" spans="2:76" ht="13.5" customHeight="1" x14ac:dyDescent="0.2">
      <c r="N84" s="159"/>
      <c r="O84" s="90"/>
      <c r="P84" s="160"/>
      <c r="Q84" s="65"/>
      <c r="R84" s="4"/>
      <c r="S84" s="4"/>
      <c r="T84" s="4"/>
      <c r="U84" s="4"/>
      <c r="V84" s="4"/>
      <c r="W84" s="4"/>
      <c r="X84" s="4"/>
      <c r="Y84" s="4"/>
      <c r="Z84" s="3"/>
      <c r="AA84" s="3"/>
      <c r="AB84" s="159"/>
      <c r="AC84" s="90"/>
      <c r="AD84" s="160"/>
      <c r="AE84" s="65"/>
      <c r="AF84" s="4"/>
      <c r="AG84" s="4"/>
      <c r="AH84" s="4"/>
      <c r="AI84" s="4"/>
      <c r="AJ84" s="4"/>
      <c r="AK84" s="4"/>
      <c r="AL84" s="4"/>
      <c r="AM84" s="4"/>
      <c r="AN84" s="3"/>
      <c r="AO84" s="159"/>
      <c r="AP84" s="90"/>
      <c r="AQ84" s="160"/>
      <c r="AR84" s="65"/>
      <c r="AS84" s="4"/>
      <c r="AT84" s="4"/>
      <c r="AU84" s="4"/>
      <c r="AV84" s="4"/>
      <c r="AW84" s="4"/>
      <c r="AX84" s="4"/>
      <c r="AY84" s="4"/>
      <c r="AZ84" s="4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</row>
    <row r="85" spans="2:76" ht="20.25" hidden="1" x14ac:dyDescent="0.3">
      <c r="B85" s="16" t="s">
        <v>150</v>
      </c>
      <c r="C85" s="17"/>
      <c r="D85" s="63" t="s">
        <v>161</v>
      </c>
      <c r="E85" s="64"/>
      <c r="F85" s="94"/>
      <c r="H85" s="104" t="s">
        <v>119</v>
      </c>
      <c r="I85" s="105" t="s">
        <v>120</v>
      </c>
      <c r="J85" s="105"/>
      <c r="K85" s="106"/>
      <c r="L85" s="106"/>
      <c r="M85" s="94"/>
      <c r="N85" s="159"/>
      <c r="O85" s="90"/>
      <c r="P85" s="160"/>
      <c r="Q85" s="91"/>
      <c r="R85" s="91"/>
      <c r="S85" s="91"/>
      <c r="T85" s="91"/>
      <c r="U85" s="91"/>
      <c r="V85" s="91"/>
      <c r="W85" s="91"/>
      <c r="X85" s="91"/>
      <c r="Y85" s="91"/>
      <c r="Z85" s="3"/>
      <c r="AA85" s="3"/>
      <c r="AB85" s="159"/>
      <c r="AC85" s="90"/>
      <c r="AD85" s="160"/>
      <c r="AE85" s="91"/>
      <c r="AF85" s="91"/>
      <c r="AG85" s="91"/>
      <c r="AH85" s="91"/>
      <c r="AI85" s="91"/>
      <c r="AJ85" s="91"/>
      <c r="AK85" s="91"/>
      <c r="AL85" s="91"/>
      <c r="AM85" s="91"/>
      <c r="AN85" s="3"/>
      <c r="AO85" s="159"/>
      <c r="AP85" s="90"/>
      <c r="AQ85" s="160"/>
      <c r="AR85" s="91"/>
      <c r="AS85" s="91"/>
      <c r="AT85" s="91"/>
      <c r="AU85" s="91"/>
      <c r="AV85" s="91"/>
      <c r="AW85" s="91"/>
      <c r="AX85" s="91"/>
      <c r="AY85" s="91"/>
      <c r="AZ85" s="91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</row>
    <row r="86" spans="2:76" hidden="1" x14ac:dyDescent="0.2">
      <c r="B86" s="17"/>
      <c r="C86" s="172" t="s">
        <v>11</v>
      </c>
      <c r="D86" s="172"/>
      <c r="E86" s="94"/>
      <c r="F86" s="94"/>
      <c r="G86" s="94"/>
      <c r="H86" s="94"/>
      <c r="I86" s="94"/>
      <c r="J86" s="94"/>
      <c r="K86" s="94"/>
      <c r="L86" s="94"/>
      <c r="M86" s="94"/>
      <c r="N86" s="72"/>
      <c r="O86" s="90"/>
      <c r="P86" s="66"/>
      <c r="Q86" s="66"/>
      <c r="R86" s="6"/>
      <c r="S86" s="6"/>
      <c r="T86" s="6"/>
      <c r="U86" s="6"/>
      <c r="V86" s="6"/>
      <c r="W86" s="6"/>
      <c r="X86" s="6"/>
      <c r="Y86" s="6"/>
      <c r="Z86" s="3"/>
      <c r="AA86" s="3"/>
      <c r="AB86" s="72"/>
      <c r="AC86" s="90"/>
      <c r="AD86" s="66"/>
      <c r="AE86" s="66"/>
      <c r="AF86" s="6"/>
      <c r="AG86" s="6"/>
      <c r="AH86" s="6"/>
      <c r="AI86" s="6"/>
      <c r="AJ86" s="6"/>
      <c r="AK86" s="6"/>
      <c r="AL86" s="6"/>
      <c r="AM86" s="6"/>
      <c r="AN86" s="3"/>
      <c r="AO86" s="72"/>
      <c r="AP86" s="90"/>
      <c r="AQ86" s="66"/>
      <c r="AR86" s="66"/>
      <c r="AS86" s="6"/>
      <c r="AT86" s="6"/>
      <c r="AU86" s="6"/>
      <c r="AV86" s="6"/>
      <c r="AW86" s="6"/>
      <c r="AX86" s="6"/>
      <c r="AY86" s="6"/>
      <c r="AZ86" s="6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</row>
    <row r="87" spans="2:76" ht="13.5" hidden="1" thickBot="1" x14ac:dyDescent="0.25">
      <c r="B87" s="173" t="s">
        <v>9</v>
      </c>
      <c r="C87" s="174"/>
      <c r="D87" s="174"/>
      <c r="E87" s="174"/>
      <c r="F87" s="175"/>
      <c r="G87" s="176"/>
      <c r="H87" s="176"/>
      <c r="I87" s="176"/>
      <c r="J87" s="176"/>
      <c r="K87" s="176"/>
      <c r="L87" s="176"/>
      <c r="M87" s="177"/>
      <c r="N87" s="73"/>
      <c r="O87" s="74"/>
      <c r="P87" s="75"/>
      <c r="Q87" s="15"/>
      <c r="R87" s="15"/>
      <c r="S87" s="15"/>
      <c r="T87" s="15"/>
      <c r="U87" s="15"/>
      <c r="V87" s="15"/>
      <c r="W87" s="15"/>
      <c r="X87" s="15"/>
      <c r="Y87" s="15"/>
      <c r="Z87" s="3"/>
      <c r="AA87" s="3"/>
      <c r="AB87" s="73"/>
      <c r="AC87" s="74"/>
      <c r="AD87" s="75"/>
      <c r="AE87" s="15"/>
      <c r="AF87" s="15"/>
      <c r="AG87" s="15"/>
      <c r="AH87" s="15"/>
      <c r="AI87" s="15"/>
      <c r="AJ87" s="15"/>
      <c r="AK87" s="15"/>
      <c r="AL87" s="15"/>
      <c r="AM87" s="15"/>
      <c r="AN87" s="3"/>
      <c r="AO87" s="73"/>
      <c r="AP87" s="74"/>
      <c r="AQ87" s="75"/>
      <c r="AR87" s="15"/>
      <c r="AS87" s="15"/>
      <c r="AT87" s="15"/>
      <c r="AU87" s="15"/>
      <c r="AV87" s="15"/>
      <c r="AW87" s="15"/>
      <c r="AX87" s="15"/>
      <c r="AY87" s="15"/>
      <c r="AZ87" s="15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</row>
    <row r="88" spans="2:76" ht="13.5" hidden="1" thickBot="1" x14ac:dyDescent="0.25">
      <c r="B88" s="171" t="s">
        <v>0</v>
      </c>
      <c r="C88" s="92" t="s">
        <v>31</v>
      </c>
      <c r="D88" s="179" t="s">
        <v>1</v>
      </c>
      <c r="E88" s="13"/>
      <c r="F88" s="14"/>
      <c r="G88" s="14"/>
      <c r="H88" s="14"/>
      <c r="I88" s="14"/>
      <c r="J88" s="14"/>
      <c r="K88" s="14"/>
      <c r="L88" s="14"/>
      <c r="M88" s="1"/>
      <c r="N88" s="73"/>
      <c r="O88" s="74"/>
      <c r="P88" s="75"/>
      <c r="Q88" s="15"/>
      <c r="R88" s="15"/>
      <c r="S88" s="15"/>
      <c r="T88" s="15"/>
      <c r="U88" s="15"/>
      <c r="V88" s="15"/>
      <c r="W88" s="15"/>
      <c r="X88" s="15"/>
      <c r="Y88" s="15"/>
      <c r="Z88" s="3"/>
      <c r="AA88" s="3"/>
      <c r="AB88" s="73"/>
      <c r="AC88" s="74"/>
      <c r="AD88" s="75"/>
      <c r="AE88" s="15"/>
      <c r="AF88" s="15"/>
      <c r="AG88" s="15"/>
      <c r="AH88" s="15"/>
      <c r="AI88" s="15"/>
      <c r="AJ88" s="15"/>
      <c r="AK88" s="15"/>
      <c r="AL88" s="15"/>
      <c r="AM88" s="15"/>
      <c r="AN88" s="3"/>
      <c r="AO88" s="73"/>
      <c r="AP88" s="74"/>
      <c r="AQ88" s="75"/>
      <c r="AR88" s="15"/>
      <c r="AS88" s="15"/>
      <c r="AT88" s="15"/>
      <c r="AU88" s="15"/>
      <c r="AV88" s="15"/>
      <c r="AW88" s="15"/>
      <c r="AX88" s="15"/>
      <c r="AY88" s="15"/>
      <c r="AZ88" s="15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</row>
    <row r="89" spans="2:76" ht="13.5" hidden="1" thickBot="1" x14ac:dyDescent="0.25">
      <c r="B89" s="178"/>
      <c r="C89" s="93" t="s">
        <v>30</v>
      </c>
      <c r="D89" s="180"/>
      <c r="E89" s="100">
        <v>1</v>
      </c>
      <c r="F89" s="101">
        <v>2</v>
      </c>
      <c r="G89" s="101">
        <v>3</v>
      </c>
      <c r="H89" s="101">
        <v>4</v>
      </c>
      <c r="I89" s="101">
        <v>5</v>
      </c>
      <c r="J89" s="101">
        <v>6</v>
      </c>
      <c r="K89" s="101">
        <v>7</v>
      </c>
      <c r="L89" s="101">
        <v>8</v>
      </c>
      <c r="M89" s="102">
        <v>9</v>
      </c>
      <c r="N89" s="73"/>
      <c r="O89" s="74"/>
      <c r="P89" s="75"/>
      <c r="Q89" s="15"/>
      <c r="R89" s="15"/>
      <c r="S89" s="15"/>
      <c r="T89" s="15"/>
      <c r="U89" s="15"/>
      <c r="V89" s="15"/>
      <c r="W89" s="15"/>
      <c r="X89" s="15"/>
      <c r="Y89" s="15"/>
      <c r="Z89" s="3"/>
      <c r="AA89" s="3"/>
      <c r="AB89" s="73"/>
      <c r="AC89" s="74"/>
      <c r="AD89" s="75"/>
      <c r="AE89" s="15"/>
      <c r="AF89" s="15"/>
      <c r="AG89" s="15"/>
      <c r="AH89" s="15"/>
      <c r="AI89" s="15"/>
      <c r="AJ89" s="15"/>
      <c r="AK89" s="15"/>
      <c r="AL89" s="15"/>
      <c r="AM89" s="15"/>
      <c r="AN89" s="3"/>
      <c r="AO89" s="73"/>
      <c r="AP89" s="74"/>
      <c r="AQ89" s="75"/>
      <c r="AR89" s="15"/>
      <c r="AS89" s="15"/>
      <c r="AT89" s="15"/>
      <c r="AU89" s="15"/>
      <c r="AV89" s="15"/>
      <c r="AW89" s="15"/>
      <c r="AX89" s="15"/>
      <c r="AY89" s="15"/>
      <c r="AZ89" s="15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</row>
    <row r="90" spans="2:76" ht="13.5" hidden="1" thickBot="1" x14ac:dyDescent="0.25">
      <c r="B90" s="18"/>
      <c r="C90" s="19" t="s">
        <v>32</v>
      </c>
      <c r="D90" s="20" t="s">
        <v>90</v>
      </c>
      <c r="E90" s="107"/>
      <c r="F90" s="108"/>
      <c r="G90" s="108"/>
      <c r="H90" s="108"/>
      <c r="I90" s="108"/>
      <c r="J90" s="108"/>
      <c r="K90" s="108"/>
      <c r="L90" s="108"/>
      <c r="M90" s="109"/>
      <c r="N90" s="73"/>
      <c r="O90" s="74"/>
      <c r="P90" s="75"/>
      <c r="Q90" s="15"/>
      <c r="R90" s="15"/>
      <c r="S90" s="15"/>
      <c r="T90" s="15"/>
      <c r="U90" s="15"/>
      <c r="V90" s="15"/>
      <c r="W90" s="15"/>
      <c r="X90" s="15"/>
      <c r="Y90" s="15"/>
      <c r="Z90" s="3"/>
      <c r="AA90" s="3"/>
      <c r="AB90" s="73"/>
      <c r="AC90" s="74"/>
      <c r="AD90" s="75"/>
      <c r="AE90" s="15"/>
      <c r="AF90" s="15"/>
      <c r="AG90" s="15"/>
      <c r="AH90" s="15"/>
      <c r="AI90" s="15"/>
      <c r="AJ90" s="15"/>
      <c r="AK90" s="15"/>
      <c r="AL90" s="15"/>
      <c r="AM90" s="15"/>
      <c r="AN90" s="3"/>
      <c r="AO90" s="73"/>
      <c r="AP90" s="74"/>
      <c r="AQ90" s="75"/>
      <c r="AR90" s="15"/>
      <c r="AS90" s="15"/>
      <c r="AT90" s="15"/>
      <c r="AU90" s="15"/>
      <c r="AV90" s="15"/>
      <c r="AW90" s="15"/>
      <c r="AX90" s="15"/>
      <c r="AY90" s="15"/>
      <c r="AZ90" s="15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</row>
    <row r="91" spans="2:76" ht="13.5" hidden="1" thickBot="1" x14ac:dyDescent="0.25">
      <c r="B91" s="21" t="s">
        <v>121</v>
      </c>
      <c r="C91" s="22" t="s">
        <v>109</v>
      </c>
      <c r="D91" s="23" t="s">
        <v>12</v>
      </c>
      <c r="E91" s="110">
        <f>1476*1.05</f>
        <v>1549.8</v>
      </c>
      <c r="F91" s="110">
        <f>1591*1.05</f>
        <v>1670.5500000000002</v>
      </c>
      <c r="G91" s="110">
        <f>1707*1.05</f>
        <v>1792.3500000000001</v>
      </c>
      <c r="H91" s="110">
        <f>1764*1.05</f>
        <v>1852.2</v>
      </c>
      <c r="I91" s="110">
        <f>1851*1.05</f>
        <v>1943.5500000000002</v>
      </c>
      <c r="J91" s="110">
        <f>1909*1.05</f>
        <v>2004.45</v>
      </c>
      <c r="K91" s="110">
        <f>2024*1.05</f>
        <v>2125.2000000000003</v>
      </c>
      <c r="L91" s="111">
        <f>2168*1.05</f>
        <v>2276.4</v>
      </c>
      <c r="M91" s="110">
        <v>2394</v>
      </c>
      <c r="N91" s="73"/>
      <c r="O91" s="74"/>
      <c r="P91" s="75"/>
      <c r="Q91" s="15"/>
      <c r="R91" s="15"/>
      <c r="S91" s="15"/>
      <c r="T91" s="15"/>
      <c r="U91" s="15"/>
      <c r="V91" s="15"/>
      <c r="W91" s="15"/>
      <c r="X91" s="15"/>
      <c r="Y91" s="15"/>
      <c r="Z91" s="3"/>
      <c r="AA91" s="3"/>
      <c r="AB91" s="73"/>
      <c r="AC91" s="74"/>
      <c r="AD91" s="75"/>
      <c r="AE91" s="15"/>
      <c r="AF91" s="15"/>
      <c r="AG91" s="15"/>
      <c r="AH91" s="15"/>
      <c r="AI91" s="15"/>
      <c r="AJ91" s="15"/>
      <c r="AK91" s="15"/>
      <c r="AL91" s="15"/>
      <c r="AM91" s="15"/>
      <c r="AN91" s="3"/>
      <c r="AO91" s="73"/>
      <c r="AP91" s="74"/>
      <c r="AQ91" s="75"/>
      <c r="AR91" s="15"/>
      <c r="AS91" s="15"/>
      <c r="AT91" s="15"/>
      <c r="AU91" s="15"/>
      <c r="AV91" s="15"/>
      <c r="AW91" s="15"/>
      <c r="AX91" s="15"/>
      <c r="AY91" s="15"/>
      <c r="AZ91" s="15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</row>
    <row r="92" spans="2:76" ht="13.5" hidden="1" thickBot="1" x14ac:dyDescent="0.25">
      <c r="B92" s="21" t="s">
        <v>122</v>
      </c>
      <c r="C92" s="22" t="s">
        <v>110</v>
      </c>
      <c r="D92" s="25" t="s">
        <v>2</v>
      </c>
      <c r="E92" s="110">
        <f>1517*1.05</f>
        <v>1592.8500000000001</v>
      </c>
      <c r="F92" s="110">
        <f>1633*1.05</f>
        <v>1714.65</v>
      </c>
      <c r="G92" s="110">
        <f>1748*1.05</f>
        <v>1835.4</v>
      </c>
      <c r="H92" s="110">
        <f>1806*1.05</f>
        <v>1896.3000000000002</v>
      </c>
      <c r="I92" s="110">
        <f>1892*1.05</f>
        <v>1986.6000000000001</v>
      </c>
      <c r="J92" s="110">
        <f>1950*1.05</f>
        <v>2047.5</v>
      </c>
      <c r="K92" s="110">
        <f>2065*1.05</f>
        <v>2168.25</v>
      </c>
      <c r="L92" s="111">
        <f>2209*1.05</f>
        <v>2319.4500000000003</v>
      </c>
      <c r="M92" s="110">
        <v>2441</v>
      </c>
      <c r="N92" s="73"/>
      <c r="O92" s="74"/>
      <c r="P92" s="75"/>
      <c r="Q92" s="15"/>
      <c r="R92" s="15"/>
      <c r="S92" s="15"/>
      <c r="T92" s="15"/>
      <c r="U92" s="15"/>
      <c r="V92" s="15"/>
      <c r="W92" s="15"/>
      <c r="X92" s="15"/>
      <c r="Y92" s="15"/>
      <c r="Z92" s="3"/>
      <c r="AA92" s="3"/>
      <c r="AB92" s="73"/>
      <c r="AC92" s="74"/>
      <c r="AD92" s="75"/>
      <c r="AE92" s="15"/>
      <c r="AF92" s="15"/>
      <c r="AG92" s="15"/>
      <c r="AH92" s="15"/>
      <c r="AI92" s="15"/>
      <c r="AJ92" s="15"/>
      <c r="AK92" s="15"/>
      <c r="AL92" s="15"/>
      <c r="AM92" s="15"/>
      <c r="AN92" s="3"/>
      <c r="AO92" s="73"/>
      <c r="AP92" s="74"/>
      <c r="AQ92" s="75"/>
      <c r="AR92" s="15"/>
      <c r="AS92" s="15"/>
      <c r="AT92" s="15"/>
      <c r="AU92" s="15"/>
      <c r="AV92" s="15"/>
      <c r="AW92" s="15"/>
      <c r="AX92" s="15"/>
      <c r="AY92" s="15"/>
      <c r="AZ92" s="15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</row>
    <row r="93" spans="2:76" ht="13.5" hidden="1" thickBot="1" x14ac:dyDescent="0.25">
      <c r="B93" s="21" t="s">
        <v>123</v>
      </c>
      <c r="C93" s="22" t="s">
        <v>111</v>
      </c>
      <c r="D93" s="25" t="s">
        <v>3</v>
      </c>
      <c r="E93" s="110">
        <f>1568*1.05</f>
        <v>1646.4</v>
      </c>
      <c r="F93" s="110">
        <f>1691*1.05</f>
        <v>1775.5500000000002</v>
      </c>
      <c r="G93" s="110">
        <f>1815*1.05</f>
        <v>1905.75</v>
      </c>
      <c r="H93" s="110">
        <f>1877*1.05</f>
        <v>1970.8500000000001</v>
      </c>
      <c r="I93" s="110">
        <f>1969*1.05</f>
        <v>2067.4500000000003</v>
      </c>
      <c r="J93" s="110">
        <f>2031*1.05</f>
        <v>2132.5500000000002</v>
      </c>
      <c r="K93" s="110">
        <f>2155*1.05</f>
        <v>2262.75</v>
      </c>
      <c r="L93" s="111">
        <f>2309*1.05</f>
        <v>2424.4500000000003</v>
      </c>
      <c r="M93" s="110">
        <v>2555</v>
      </c>
      <c r="N93" s="73"/>
      <c r="O93" s="74"/>
      <c r="P93" s="75"/>
      <c r="Q93" s="15"/>
      <c r="R93" s="15"/>
      <c r="S93" s="15"/>
      <c r="T93" s="15"/>
      <c r="U93" s="15"/>
      <c r="V93" s="15"/>
      <c r="W93" s="15"/>
      <c r="X93" s="15"/>
      <c r="Y93" s="15"/>
      <c r="Z93" s="3"/>
      <c r="AA93" s="3"/>
      <c r="AB93" s="73"/>
      <c r="AC93" s="74"/>
      <c r="AD93" s="75"/>
      <c r="AE93" s="15"/>
      <c r="AF93" s="15"/>
      <c r="AG93" s="15"/>
      <c r="AH93" s="15"/>
      <c r="AI93" s="15"/>
      <c r="AJ93" s="15"/>
      <c r="AK93" s="15"/>
      <c r="AL93" s="15"/>
      <c r="AM93" s="15"/>
      <c r="AN93" s="3"/>
      <c r="AO93" s="73"/>
      <c r="AP93" s="74"/>
      <c r="AQ93" s="75"/>
      <c r="AR93" s="15"/>
      <c r="AS93" s="15"/>
      <c r="AT93" s="15"/>
      <c r="AU93" s="15"/>
      <c r="AV93" s="15"/>
      <c r="AW93" s="15"/>
      <c r="AX93" s="15"/>
      <c r="AY93" s="15"/>
      <c r="AZ93" s="15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</row>
    <row r="94" spans="2:76" ht="13.5" hidden="1" thickBot="1" x14ac:dyDescent="0.25">
      <c r="B94" s="21" t="s">
        <v>124</v>
      </c>
      <c r="C94" s="22" t="s">
        <v>112</v>
      </c>
      <c r="D94" s="25" t="s">
        <v>4</v>
      </c>
      <c r="E94" s="110">
        <f>1762*1.05</f>
        <v>1850.1000000000001</v>
      </c>
      <c r="F94" s="110">
        <f>1894*1.05</f>
        <v>1988.7</v>
      </c>
      <c r="G94" s="110">
        <f>2026*1.05</f>
        <v>2127.3000000000002</v>
      </c>
      <c r="H94" s="110">
        <f>2092*1.05</f>
        <v>2196.6</v>
      </c>
      <c r="I94" s="110">
        <f>2191*1.05</f>
        <v>2300.5500000000002</v>
      </c>
      <c r="J94" s="110">
        <f>2257*1.05</f>
        <v>2369.85</v>
      </c>
      <c r="K94" s="110">
        <f>2389*1.05</f>
        <v>2508.4500000000003</v>
      </c>
      <c r="L94" s="111">
        <f>2554*1.05</f>
        <v>2681.7000000000003</v>
      </c>
      <c r="M94" s="110">
        <v>2820</v>
      </c>
      <c r="N94" s="73"/>
      <c r="O94" s="74"/>
      <c r="P94" s="75"/>
      <c r="Q94" s="15"/>
      <c r="R94" s="15"/>
      <c r="S94" s="15"/>
      <c r="T94" s="15"/>
      <c r="U94" s="15"/>
      <c r="V94" s="15"/>
      <c r="W94" s="15"/>
      <c r="X94" s="15"/>
      <c r="Y94" s="15"/>
      <c r="Z94" s="3"/>
      <c r="AA94" s="3"/>
      <c r="AB94" s="73"/>
      <c r="AC94" s="74"/>
      <c r="AD94" s="75"/>
      <c r="AE94" s="15"/>
      <c r="AF94" s="15"/>
      <c r="AG94" s="15"/>
      <c r="AH94" s="15"/>
      <c r="AI94" s="15"/>
      <c r="AJ94" s="15"/>
      <c r="AK94" s="15"/>
      <c r="AL94" s="15"/>
      <c r="AM94" s="15"/>
      <c r="AN94" s="3"/>
      <c r="AO94" s="73"/>
      <c r="AP94" s="74"/>
      <c r="AQ94" s="75"/>
      <c r="AR94" s="15"/>
      <c r="AS94" s="15"/>
      <c r="AT94" s="15"/>
      <c r="AU94" s="15"/>
      <c r="AV94" s="15"/>
      <c r="AW94" s="15"/>
      <c r="AX94" s="15"/>
      <c r="AY94" s="15"/>
      <c r="AZ94" s="15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</row>
    <row r="95" spans="2:76" ht="13.5" hidden="1" thickBot="1" x14ac:dyDescent="0.25">
      <c r="B95" s="21" t="s">
        <v>125</v>
      </c>
      <c r="C95" s="22" t="s">
        <v>109</v>
      </c>
      <c r="D95" s="23" t="s">
        <v>116</v>
      </c>
      <c r="E95" s="110">
        <f>1657*1.05</f>
        <v>1739.8500000000001</v>
      </c>
      <c r="F95" s="110">
        <f>1779*1.05</f>
        <v>1867.95</v>
      </c>
      <c r="G95" s="110">
        <f>1901*1.05</f>
        <v>1996.0500000000002</v>
      </c>
      <c r="H95" s="110">
        <f>1962*1.05</f>
        <v>2060.1</v>
      </c>
      <c r="I95" s="110">
        <f>2053*1.05</f>
        <v>2155.65</v>
      </c>
      <c r="J95" s="110">
        <f>2114*1.05</f>
        <v>2219.7000000000003</v>
      </c>
      <c r="K95" s="110">
        <f>2236*1.05</f>
        <v>2347.8000000000002</v>
      </c>
      <c r="L95" s="111">
        <f>2389*1.05</f>
        <v>2508.4500000000003</v>
      </c>
      <c r="M95" s="110">
        <v>2637</v>
      </c>
      <c r="N95" s="73"/>
      <c r="O95" s="74"/>
      <c r="P95" s="75"/>
      <c r="Q95" s="15"/>
      <c r="R95" s="15"/>
      <c r="S95" s="15"/>
      <c r="T95" s="15"/>
      <c r="U95" s="15"/>
      <c r="V95" s="15"/>
      <c r="W95" s="15"/>
      <c r="X95" s="15"/>
      <c r="Y95" s="15"/>
      <c r="Z95" s="3"/>
      <c r="AA95" s="3"/>
      <c r="AB95" s="73"/>
      <c r="AC95" s="74"/>
      <c r="AD95" s="75"/>
      <c r="AE95" s="15"/>
      <c r="AF95" s="15"/>
      <c r="AG95" s="15"/>
      <c r="AH95" s="15"/>
      <c r="AI95" s="15"/>
      <c r="AJ95" s="15"/>
      <c r="AK95" s="15"/>
      <c r="AL95" s="15"/>
      <c r="AM95" s="15"/>
      <c r="AN95" s="3"/>
      <c r="AO95" s="73"/>
      <c r="AP95" s="74"/>
      <c r="AQ95" s="75"/>
      <c r="AR95" s="15"/>
      <c r="AS95" s="15"/>
      <c r="AT95" s="15"/>
      <c r="AU95" s="15"/>
      <c r="AV95" s="15"/>
      <c r="AW95" s="15"/>
      <c r="AX95" s="15"/>
      <c r="AY95" s="15"/>
      <c r="AZ95" s="15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</row>
    <row r="96" spans="2:76" ht="13.5" hidden="1" thickBot="1" x14ac:dyDescent="0.25">
      <c r="B96" s="21" t="s">
        <v>126</v>
      </c>
      <c r="C96" s="22" t="s">
        <v>110</v>
      </c>
      <c r="D96" s="25" t="s">
        <v>5</v>
      </c>
      <c r="E96" s="110">
        <f>1711*1.05</f>
        <v>1796.5500000000002</v>
      </c>
      <c r="F96" s="110">
        <f>1837*1.05</f>
        <v>1928.8500000000001</v>
      </c>
      <c r="G96" s="110">
        <f>1963*1.05</f>
        <v>2061.15</v>
      </c>
      <c r="H96" s="110">
        <f>2026*1.05</f>
        <v>2127.3000000000002</v>
      </c>
      <c r="I96" s="110">
        <f>2121*1.05</f>
        <v>2227.0500000000002</v>
      </c>
      <c r="J96" s="110">
        <f>2184*1.05</f>
        <v>2293.2000000000003</v>
      </c>
      <c r="K96" s="110">
        <f>2310*1.05</f>
        <v>2425.5</v>
      </c>
      <c r="L96" s="111">
        <f>2467*1.05</f>
        <v>2590.35</v>
      </c>
      <c r="M96" s="110">
        <v>2723</v>
      </c>
      <c r="N96" s="73"/>
      <c r="O96" s="74"/>
      <c r="P96" s="75"/>
      <c r="Q96" s="15"/>
      <c r="R96" s="15"/>
      <c r="S96" s="15"/>
      <c r="T96" s="15"/>
      <c r="U96" s="15"/>
      <c r="V96" s="15"/>
      <c r="W96" s="15"/>
      <c r="X96" s="15"/>
      <c r="Y96" s="15"/>
      <c r="Z96" s="3"/>
      <c r="AA96" s="3"/>
      <c r="AB96" s="73"/>
      <c r="AC96" s="74"/>
      <c r="AD96" s="75"/>
      <c r="AE96" s="15"/>
      <c r="AF96" s="15"/>
      <c r="AG96" s="15"/>
      <c r="AH96" s="15"/>
      <c r="AI96" s="15"/>
      <c r="AJ96" s="15"/>
      <c r="AK96" s="15"/>
      <c r="AL96" s="15"/>
      <c r="AM96" s="15"/>
      <c r="AN96" s="3"/>
      <c r="AO96" s="73"/>
      <c r="AP96" s="74"/>
      <c r="AQ96" s="75"/>
      <c r="AR96" s="15"/>
      <c r="AS96" s="15"/>
      <c r="AT96" s="15"/>
      <c r="AU96" s="15"/>
      <c r="AV96" s="15"/>
      <c r="AW96" s="15"/>
      <c r="AX96" s="15"/>
      <c r="AY96" s="15"/>
      <c r="AZ96" s="15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</row>
    <row r="97" spans="2:76" ht="13.5" hidden="1" thickBot="1" x14ac:dyDescent="0.25">
      <c r="B97" s="21" t="s">
        <v>127</v>
      </c>
      <c r="C97" s="22" t="s">
        <v>111</v>
      </c>
      <c r="D97" s="25" t="s">
        <v>6</v>
      </c>
      <c r="E97" s="110">
        <f>1749*1.05</f>
        <v>1836.45</v>
      </c>
      <c r="F97" s="110">
        <f>1883*1.05</f>
        <v>1977.15</v>
      </c>
      <c r="G97" s="110">
        <f>2017*1.05</f>
        <v>2117.85</v>
      </c>
      <c r="H97" s="110">
        <f>2084*1.05</f>
        <v>2188.2000000000003</v>
      </c>
      <c r="I97" s="110">
        <f>2184*1.05</f>
        <v>2293.2000000000003</v>
      </c>
      <c r="J97" s="110">
        <f>2251*1.05</f>
        <v>2363.5500000000002</v>
      </c>
      <c r="K97" s="110">
        <f>2385*1.05</f>
        <v>2504.25</v>
      </c>
      <c r="L97" s="111">
        <f>2553*1.05</f>
        <v>2680.65</v>
      </c>
      <c r="M97" s="110">
        <v>2821</v>
      </c>
      <c r="N97" s="159"/>
      <c r="O97" s="74"/>
      <c r="P97" s="75"/>
      <c r="Q97" s="15"/>
      <c r="R97" s="15"/>
      <c r="S97" s="15"/>
      <c r="T97" s="15"/>
      <c r="U97" s="15"/>
      <c r="V97" s="15"/>
      <c r="W97" s="15"/>
      <c r="X97" s="15"/>
      <c r="Y97" s="15"/>
      <c r="Z97" s="3"/>
      <c r="AA97" s="3"/>
      <c r="AB97" s="159"/>
      <c r="AC97" s="74"/>
      <c r="AD97" s="75"/>
      <c r="AE97" s="15"/>
      <c r="AF97" s="15"/>
      <c r="AG97" s="15"/>
      <c r="AH97" s="15"/>
      <c r="AI97" s="15"/>
      <c r="AJ97" s="15"/>
      <c r="AK97" s="15"/>
      <c r="AL97" s="15"/>
      <c r="AM97" s="15"/>
      <c r="AN97" s="3"/>
      <c r="AO97" s="159"/>
      <c r="AP97" s="74"/>
      <c r="AQ97" s="75"/>
      <c r="AR97" s="15"/>
      <c r="AS97" s="15"/>
      <c r="AT97" s="15"/>
      <c r="AU97" s="15"/>
      <c r="AV97" s="15"/>
      <c r="AW97" s="15"/>
      <c r="AX97" s="15"/>
      <c r="AY97" s="15"/>
      <c r="AZ97" s="15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</row>
    <row r="98" spans="2:76" ht="13.5" hidden="1" thickBot="1" x14ac:dyDescent="0.25">
      <c r="B98" s="21" t="s">
        <v>128</v>
      </c>
      <c r="C98" s="26" t="s">
        <v>112</v>
      </c>
      <c r="D98" s="27" t="s">
        <v>13</v>
      </c>
      <c r="E98" s="110">
        <f>1898*1.05</f>
        <v>1992.9</v>
      </c>
      <c r="F98" s="110">
        <f>2038*1.05</f>
        <v>2139.9</v>
      </c>
      <c r="G98" s="110">
        <f>2178*1.05</f>
        <v>2286.9</v>
      </c>
      <c r="H98" s="110">
        <f>2248*1.05</f>
        <v>2360.4</v>
      </c>
      <c r="I98" s="110">
        <f>2353*1.05</f>
        <v>2470.65</v>
      </c>
      <c r="J98" s="110">
        <f>2423*1.05</f>
        <v>2544.15</v>
      </c>
      <c r="K98" s="110">
        <f>2563*1.05</f>
        <v>2691.15</v>
      </c>
      <c r="L98" s="111">
        <f>2738*1.05</f>
        <v>2874.9</v>
      </c>
      <c r="M98" s="110">
        <v>3022</v>
      </c>
      <c r="N98" s="159"/>
      <c r="O98" s="74"/>
      <c r="P98" s="75"/>
      <c r="Q98" s="15"/>
      <c r="R98" s="15"/>
      <c r="S98" s="15"/>
      <c r="T98" s="15"/>
      <c r="U98" s="15"/>
      <c r="V98" s="15"/>
      <c r="W98" s="15"/>
      <c r="X98" s="15"/>
      <c r="Y98" s="15"/>
      <c r="Z98" s="3"/>
      <c r="AA98" s="3"/>
      <c r="AB98" s="159"/>
      <c r="AC98" s="74"/>
      <c r="AD98" s="75"/>
      <c r="AE98" s="15"/>
      <c r="AF98" s="15"/>
      <c r="AG98" s="15"/>
      <c r="AH98" s="15"/>
      <c r="AI98" s="15"/>
      <c r="AJ98" s="15"/>
      <c r="AK98" s="15"/>
      <c r="AL98" s="15"/>
      <c r="AM98" s="15"/>
      <c r="AN98" s="3"/>
      <c r="AO98" s="159"/>
      <c r="AP98" s="74"/>
      <c r="AQ98" s="75"/>
      <c r="AR98" s="15"/>
      <c r="AS98" s="15"/>
      <c r="AT98" s="15"/>
      <c r="AU98" s="15"/>
      <c r="AV98" s="15"/>
      <c r="AW98" s="15"/>
      <c r="AX98" s="15"/>
      <c r="AY98" s="15"/>
      <c r="AZ98" s="15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</row>
    <row r="99" spans="2:76" ht="13.5" hidden="1" thickBot="1" x14ac:dyDescent="0.25">
      <c r="B99" s="21" t="s">
        <v>158</v>
      </c>
      <c r="C99" s="28" t="s">
        <v>159</v>
      </c>
      <c r="D99" s="25" t="s">
        <v>160</v>
      </c>
      <c r="E99" s="112">
        <v>2453</v>
      </c>
      <c r="F99" s="110">
        <v>2623</v>
      </c>
      <c r="G99" s="110">
        <v>2793</v>
      </c>
      <c r="H99" s="110">
        <v>2878</v>
      </c>
      <c r="I99" s="110">
        <v>3006</v>
      </c>
      <c r="J99" s="110">
        <v>3091</v>
      </c>
      <c r="K99" s="110">
        <v>3261</v>
      </c>
      <c r="L99" s="111">
        <v>3473</v>
      </c>
      <c r="M99" s="110">
        <v>3644</v>
      </c>
      <c r="N99" s="159"/>
      <c r="O99" s="74"/>
      <c r="P99" s="75"/>
      <c r="Q99" s="15"/>
      <c r="R99" s="15"/>
      <c r="S99" s="15"/>
      <c r="T99" s="15"/>
      <c r="U99" s="15"/>
      <c r="V99" s="15"/>
      <c r="W99" s="15"/>
      <c r="X99" s="15"/>
      <c r="Y99" s="15"/>
      <c r="Z99" s="3"/>
      <c r="AA99" s="3"/>
      <c r="AB99" s="159"/>
      <c r="AC99" s="74"/>
      <c r="AD99" s="75"/>
      <c r="AE99" s="15"/>
      <c r="AF99" s="15"/>
      <c r="AG99" s="15"/>
      <c r="AH99" s="15"/>
      <c r="AI99" s="15"/>
      <c r="AJ99" s="15"/>
      <c r="AK99" s="15"/>
      <c r="AL99" s="15"/>
      <c r="AM99" s="15"/>
      <c r="AN99" s="3"/>
      <c r="AO99" s="159"/>
      <c r="AP99" s="74"/>
      <c r="AQ99" s="75"/>
      <c r="AR99" s="15"/>
      <c r="AS99" s="15"/>
      <c r="AT99" s="15"/>
      <c r="AU99" s="15"/>
      <c r="AV99" s="15"/>
      <c r="AW99" s="15"/>
      <c r="AX99" s="15"/>
      <c r="AY99" s="15"/>
      <c r="AZ99" s="15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</row>
    <row r="100" spans="2:76" ht="13.5" hidden="1" thickBot="1" x14ac:dyDescent="0.25">
      <c r="B100" s="21" t="s">
        <v>129</v>
      </c>
      <c r="C100" s="29" t="s">
        <v>113</v>
      </c>
      <c r="D100" s="30" t="s">
        <v>74</v>
      </c>
      <c r="E100" s="112">
        <f>1220*1.05</f>
        <v>1281</v>
      </c>
      <c r="F100" s="110">
        <f>1322*1.05</f>
        <v>1388.1000000000001</v>
      </c>
      <c r="G100" s="110">
        <f>1424*1.05</f>
        <v>1495.2</v>
      </c>
      <c r="H100" s="110">
        <f>1475*1.05</f>
        <v>1548.75</v>
      </c>
      <c r="I100" s="110">
        <f>1552*1.05</f>
        <v>1629.6000000000001</v>
      </c>
      <c r="J100" s="110">
        <f>1603*1.05</f>
        <v>1683.15</v>
      </c>
      <c r="K100" s="110">
        <f>1705*1.05</f>
        <v>1790.25</v>
      </c>
      <c r="L100" s="111">
        <f>1832*1.05</f>
        <v>1923.6000000000001</v>
      </c>
      <c r="M100" s="110">
        <v>2031</v>
      </c>
      <c r="N100" s="159"/>
      <c r="O100" s="74"/>
      <c r="P100" s="75"/>
      <c r="Q100" s="15"/>
      <c r="R100" s="15"/>
      <c r="S100" s="15"/>
      <c r="T100" s="15"/>
      <c r="U100" s="15"/>
      <c r="V100" s="15"/>
      <c r="W100" s="15"/>
      <c r="X100" s="15"/>
      <c r="Y100" s="15"/>
      <c r="Z100" s="3"/>
      <c r="AA100" s="3"/>
      <c r="AB100" s="159"/>
      <c r="AC100" s="74"/>
      <c r="AD100" s="75"/>
      <c r="AE100" s="15"/>
      <c r="AF100" s="15"/>
      <c r="AG100" s="15"/>
      <c r="AH100" s="15"/>
      <c r="AI100" s="15"/>
      <c r="AJ100" s="15"/>
      <c r="AK100" s="15"/>
      <c r="AL100" s="15"/>
      <c r="AM100" s="15"/>
      <c r="AN100" s="3"/>
      <c r="AO100" s="159"/>
      <c r="AP100" s="74"/>
      <c r="AQ100" s="75"/>
      <c r="AR100" s="15"/>
      <c r="AS100" s="15"/>
      <c r="AT100" s="15"/>
      <c r="AU100" s="15"/>
      <c r="AV100" s="15"/>
      <c r="AW100" s="15"/>
      <c r="AX100" s="15"/>
      <c r="AY100" s="15"/>
      <c r="AZ100" s="15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</row>
    <row r="101" spans="2:76" ht="13.5" hidden="1" thickBot="1" x14ac:dyDescent="0.25">
      <c r="B101" s="170" t="s">
        <v>8</v>
      </c>
      <c r="C101" s="31" t="s">
        <v>47</v>
      </c>
      <c r="D101" s="32" t="s">
        <v>78</v>
      </c>
      <c r="E101" s="110">
        <f>1369*1.05</f>
        <v>1437.45</v>
      </c>
      <c r="F101" s="110">
        <f>(1439+30)*1.05</f>
        <v>1542.45</v>
      </c>
      <c r="G101" s="110">
        <f>(1534+30)*1.05</f>
        <v>1642.2</v>
      </c>
      <c r="H101" s="110">
        <f>(1581+30)*1.05</f>
        <v>1691.5500000000002</v>
      </c>
      <c r="I101" s="110">
        <f>(1652+30)*1.05</f>
        <v>1766.1000000000001</v>
      </c>
      <c r="J101" s="110">
        <f>(1700+30)*1.05</f>
        <v>1816.5</v>
      </c>
      <c r="K101" s="110">
        <f>(1833+30)*1.05</f>
        <v>1956.15</v>
      </c>
      <c r="L101" s="111">
        <f>(1952+30)*1.05</f>
        <v>2081.1</v>
      </c>
      <c r="M101" s="110">
        <v>2184</v>
      </c>
      <c r="N101" s="159"/>
      <c r="O101" s="74"/>
      <c r="P101" s="75"/>
      <c r="Q101" s="15"/>
      <c r="R101" s="15"/>
      <c r="S101" s="15"/>
      <c r="T101" s="15"/>
      <c r="U101" s="15"/>
      <c r="V101" s="15"/>
      <c r="W101" s="15"/>
      <c r="X101" s="15"/>
      <c r="Y101" s="15"/>
      <c r="Z101" s="3"/>
      <c r="AA101" s="3"/>
      <c r="AB101" s="159"/>
      <c r="AC101" s="74"/>
      <c r="AD101" s="75"/>
      <c r="AE101" s="15"/>
      <c r="AF101" s="15"/>
      <c r="AG101" s="15"/>
      <c r="AH101" s="15"/>
      <c r="AI101" s="15"/>
      <c r="AJ101" s="15"/>
      <c r="AK101" s="15"/>
      <c r="AL101" s="15"/>
      <c r="AM101" s="15"/>
      <c r="AN101" s="3"/>
      <c r="AO101" s="159"/>
      <c r="AP101" s="74"/>
      <c r="AQ101" s="75"/>
      <c r="AR101" s="15"/>
      <c r="AS101" s="15"/>
      <c r="AT101" s="15"/>
      <c r="AU101" s="15"/>
      <c r="AV101" s="15"/>
      <c r="AW101" s="15"/>
      <c r="AX101" s="15"/>
      <c r="AY101" s="15"/>
      <c r="AZ101" s="15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</row>
    <row r="102" spans="2:76" ht="13.5" hidden="1" thickBot="1" x14ac:dyDescent="0.25">
      <c r="B102" s="171"/>
      <c r="C102" s="33" t="s">
        <v>48</v>
      </c>
      <c r="D102" s="25" t="s">
        <v>79</v>
      </c>
      <c r="E102" s="110">
        <f>(1371+30)*1.05</f>
        <v>1471.05</v>
      </c>
      <c r="F102" s="110">
        <f>(1482+30)*1.05</f>
        <v>1587.6000000000001</v>
      </c>
      <c r="G102" s="110">
        <f>(1590+30)*1.05</f>
        <v>1701</v>
      </c>
      <c r="H102" s="110">
        <f>(1645+30)*1.05</f>
        <v>1758.75</v>
      </c>
      <c r="I102" s="110">
        <f>(1725+30)*1.05</f>
        <v>1842.75</v>
      </c>
      <c r="J102" s="110">
        <f>(1779+30)*1.05</f>
        <v>1899.45</v>
      </c>
      <c r="K102" s="110">
        <f>(1913+30)*1.05</f>
        <v>2040.15</v>
      </c>
      <c r="L102" s="111">
        <f>(2048+30)*1.05</f>
        <v>2181.9</v>
      </c>
      <c r="M102" s="110">
        <v>2297</v>
      </c>
      <c r="N102" s="159"/>
      <c r="O102" s="74"/>
      <c r="P102" s="75"/>
      <c r="Q102" s="15"/>
      <c r="R102" s="15"/>
      <c r="S102" s="15"/>
      <c r="T102" s="15"/>
      <c r="U102" s="15"/>
      <c r="V102" s="15"/>
      <c r="W102" s="15"/>
      <c r="X102" s="15"/>
      <c r="Y102" s="15"/>
      <c r="Z102" s="3"/>
      <c r="AA102" s="3"/>
      <c r="AB102" s="159"/>
      <c r="AC102" s="74"/>
      <c r="AD102" s="75"/>
      <c r="AE102" s="15"/>
      <c r="AF102" s="15"/>
      <c r="AG102" s="15"/>
      <c r="AH102" s="15"/>
      <c r="AI102" s="15"/>
      <c r="AJ102" s="15"/>
      <c r="AK102" s="15"/>
      <c r="AL102" s="15"/>
      <c r="AM102" s="15"/>
      <c r="AN102" s="3"/>
      <c r="AO102" s="159"/>
      <c r="AP102" s="74"/>
      <c r="AQ102" s="75"/>
      <c r="AR102" s="15"/>
      <c r="AS102" s="15"/>
      <c r="AT102" s="15"/>
      <c r="AU102" s="15"/>
      <c r="AV102" s="15"/>
      <c r="AW102" s="15"/>
      <c r="AX102" s="15"/>
      <c r="AY102" s="15"/>
      <c r="AZ102" s="15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</row>
    <row r="103" spans="2:76" ht="13.5" hidden="1" thickBot="1" x14ac:dyDescent="0.25">
      <c r="B103" s="171"/>
      <c r="C103" s="33" t="s">
        <v>49</v>
      </c>
      <c r="D103" s="25" t="s">
        <v>80</v>
      </c>
      <c r="E103" s="110">
        <f>(1403+30)*1.05</f>
        <v>1504.65</v>
      </c>
      <c r="F103" s="110">
        <f>(1525+30)*1.05</f>
        <v>1632.75</v>
      </c>
      <c r="G103" s="110">
        <f>(1647+30)*1.05</f>
        <v>1760.8500000000001</v>
      </c>
      <c r="H103" s="110">
        <f>(1709+30)*1.05</f>
        <v>1825.95</v>
      </c>
      <c r="I103" s="110">
        <f>(1798+30)*1.05</f>
        <v>1919.4</v>
      </c>
      <c r="J103" s="110">
        <f>(1858+30)*1.05</f>
        <v>1982.4</v>
      </c>
      <c r="K103" s="110">
        <f>(1992+30)*1.05</f>
        <v>2123.1</v>
      </c>
      <c r="L103" s="111">
        <f>(2143+30)*1.05</f>
        <v>2281.65</v>
      </c>
      <c r="M103" s="110">
        <v>2411</v>
      </c>
      <c r="N103" s="159"/>
      <c r="O103" s="74"/>
      <c r="P103" s="75"/>
      <c r="Q103" s="15"/>
      <c r="R103" s="15"/>
      <c r="S103" s="15"/>
      <c r="T103" s="15"/>
      <c r="U103" s="15"/>
      <c r="V103" s="15"/>
      <c r="W103" s="15"/>
      <c r="X103" s="15"/>
      <c r="Y103" s="15"/>
      <c r="Z103" s="3"/>
      <c r="AA103" s="3"/>
      <c r="AB103" s="159"/>
      <c r="AC103" s="74"/>
      <c r="AD103" s="75"/>
      <c r="AE103" s="15"/>
      <c r="AF103" s="15"/>
      <c r="AG103" s="15"/>
      <c r="AH103" s="15"/>
      <c r="AI103" s="15"/>
      <c r="AJ103" s="15"/>
      <c r="AK103" s="15"/>
      <c r="AL103" s="15"/>
      <c r="AM103" s="15"/>
      <c r="AN103" s="3"/>
      <c r="AO103" s="159"/>
      <c r="AP103" s="74"/>
      <c r="AQ103" s="75"/>
      <c r="AR103" s="15"/>
      <c r="AS103" s="15"/>
      <c r="AT103" s="15"/>
      <c r="AU103" s="15"/>
      <c r="AV103" s="15"/>
      <c r="AW103" s="15"/>
      <c r="AX103" s="15"/>
      <c r="AY103" s="15"/>
      <c r="AZ103" s="15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</row>
    <row r="104" spans="2:76" ht="13.5" hidden="1" thickBot="1" x14ac:dyDescent="0.25">
      <c r="B104" s="171"/>
      <c r="C104" s="33" t="s">
        <v>50</v>
      </c>
      <c r="D104" s="25" t="s">
        <v>81</v>
      </c>
      <c r="E104" s="110">
        <f>1468*1.05</f>
        <v>1541.4</v>
      </c>
      <c r="F104" s="110">
        <f>1598*1.05</f>
        <v>1677.9</v>
      </c>
      <c r="G104" s="110">
        <f>1728*1.05</f>
        <v>1814.4</v>
      </c>
      <c r="H104" s="110">
        <f>1793*1.05</f>
        <v>1882.65</v>
      </c>
      <c r="I104" s="110">
        <f>1890*1.05</f>
        <v>1984.5</v>
      </c>
      <c r="J104" s="110">
        <f>1955*1.05</f>
        <v>2052.75</v>
      </c>
      <c r="K104" s="110">
        <f>2085*1.05</f>
        <v>2189.25</v>
      </c>
      <c r="L104" s="111">
        <f>2248*1.05</f>
        <v>2360.4</v>
      </c>
      <c r="M104" s="110">
        <v>2497</v>
      </c>
      <c r="N104" s="159"/>
      <c r="O104" s="74"/>
      <c r="P104" s="75"/>
      <c r="Q104" s="15"/>
      <c r="R104" s="15"/>
      <c r="S104" s="15"/>
      <c r="T104" s="15"/>
      <c r="U104" s="15"/>
      <c r="V104" s="15"/>
      <c r="W104" s="15"/>
      <c r="X104" s="15"/>
      <c r="Y104" s="15"/>
      <c r="Z104" s="3"/>
      <c r="AA104" s="3"/>
      <c r="AB104" s="159"/>
      <c r="AC104" s="74"/>
      <c r="AD104" s="75"/>
      <c r="AE104" s="15"/>
      <c r="AF104" s="15"/>
      <c r="AG104" s="15"/>
      <c r="AH104" s="15"/>
      <c r="AI104" s="15"/>
      <c r="AJ104" s="15"/>
      <c r="AK104" s="15"/>
      <c r="AL104" s="15"/>
      <c r="AM104" s="15"/>
      <c r="AN104" s="3"/>
      <c r="AO104" s="159"/>
      <c r="AP104" s="74"/>
      <c r="AQ104" s="75"/>
      <c r="AR104" s="15"/>
      <c r="AS104" s="15"/>
      <c r="AT104" s="15"/>
      <c r="AU104" s="15"/>
      <c r="AV104" s="15"/>
      <c r="AW104" s="15"/>
      <c r="AX104" s="15"/>
      <c r="AY104" s="15"/>
      <c r="AZ104" s="15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</row>
    <row r="105" spans="2:76" ht="13.5" hidden="1" thickBot="1" x14ac:dyDescent="0.25">
      <c r="B105" s="171"/>
      <c r="C105" s="33" t="s">
        <v>51</v>
      </c>
      <c r="D105" s="25" t="s">
        <v>82</v>
      </c>
      <c r="E105" s="110">
        <f>1550*1.05</f>
        <v>1627.5</v>
      </c>
      <c r="F105" s="110">
        <f>1684*1.05</f>
        <v>1768.2</v>
      </c>
      <c r="G105" s="110">
        <f>1818*1.05</f>
        <v>1908.9</v>
      </c>
      <c r="H105" s="110">
        <f>1885*1.05</f>
        <v>1979.25</v>
      </c>
      <c r="I105" s="110">
        <f>1986*1.05</f>
        <v>2085.3000000000002</v>
      </c>
      <c r="J105" s="110">
        <f>2053*1.05</f>
        <v>2155.65</v>
      </c>
      <c r="K105" s="110">
        <f>2187*1.05</f>
        <v>2296.35</v>
      </c>
      <c r="L105" s="111">
        <f>2354*1.05</f>
        <v>2471.7000000000003</v>
      </c>
      <c r="M105" s="110">
        <v>2611</v>
      </c>
      <c r="N105" s="159"/>
      <c r="O105" s="74"/>
      <c r="P105" s="75"/>
      <c r="Q105" s="15"/>
      <c r="R105" s="15"/>
      <c r="S105" s="15"/>
      <c r="T105" s="15"/>
      <c r="U105" s="15"/>
      <c r="V105" s="15"/>
      <c r="W105" s="15"/>
      <c r="X105" s="15"/>
      <c r="Y105" s="15"/>
      <c r="Z105" s="3"/>
      <c r="AA105" s="3"/>
      <c r="AB105" s="159"/>
      <c r="AC105" s="74"/>
      <c r="AD105" s="75"/>
      <c r="AE105" s="15"/>
      <c r="AF105" s="15"/>
      <c r="AG105" s="15"/>
      <c r="AH105" s="15"/>
      <c r="AI105" s="15"/>
      <c r="AJ105" s="15"/>
      <c r="AK105" s="15"/>
      <c r="AL105" s="15"/>
      <c r="AM105" s="15"/>
      <c r="AN105" s="3"/>
      <c r="AO105" s="159"/>
      <c r="AP105" s="74"/>
      <c r="AQ105" s="75"/>
      <c r="AR105" s="15"/>
      <c r="AS105" s="15"/>
      <c r="AT105" s="15"/>
      <c r="AU105" s="15"/>
      <c r="AV105" s="15"/>
      <c r="AW105" s="15"/>
      <c r="AX105" s="15"/>
      <c r="AY105" s="15"/>
      <c r="AZ105" s="15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</row>
    <row r="106" spans="2:76" ht="13.5" hidden="1" thickBot="1" x14ac:dyDescent="0.25">
      <c r="B106" s="171"/>
      <c r="C106" s="33" t="s">
        <v>52</v>
      </c>
      <c r="D106" s="25" t="s">
        <v>83</v>
      </c>
      <c r="E106" s="110">
        <f>1635*1.05</f>
        <v>1716.75</v>
      </c>
      <c r="F106" s="110">
        <f>1769*1.05</f>
        <v>1857.45</v>
      </c>
      <c r="G106" s="110">
        <f>1902*1.05</f>
        <v>1997.1000000000001</v>
      </c>
      <c r="H106" s="110">
        <f>2031*1.05</f>
        <v>2132.5500000000002</v>
      </c>
      <c r="I106" s="110">
        <f>2070*1.05</f>
        <v>2173.5</v>
      </c>
      <c r="J106" s="110">
        <f>2137*1.05</f>
        <v>2243.85</v>
      </c>
      <c r="K106" s="110">
        <f>2271*1.05</f>
        <v>2384.5500000000002</v>
      </c>
      <c r="L106" s="111">
        <f>2438*1.05</f>
        <v>2559.9</v>
      </c>
      <c r="M106" s="110">
        <v>2701</v>
      </c>
      <c r="N106" s="159"/>
      <c r="O106" s="74"/>
      <c r="P106" s="75"/>
      <c r="Q106" s="15"/>
      <c r="R106" s="15"/>
      <c r="S106" s="15"/>
      <c r="T106" s="15"/>
      <c r="U106" s="15"/>
      <c r="V106" s="15"/>
      <c r="W106" s="15"/>
      <c r="X106" s="15"/>
      <c r="Y106" s="15"/>
      <c r="Z106" s="3"/>
      <c r="AA106" s="3"/>
      <c r="AB106" s="159"/>
      <c r="AC106" s="74"/>
      <c r="AD106" s="75"/>
      <c r="AE106" s="15"/>
      <c r="AF106" s="15"/>
      <c r="AG106" s="15"/>
      <c r="AH106" s="15"/>
      <c r="AI106" s="15"/>
      <c r="AJ106" s="15"/>
      <c r="AK106" s="15"/>
      <c r="AL106" s="15"/>
      <c r="AM106" s="15"/>
      <c r="AN106" s="3"/>
      <c r="AO106" s="159"/>
      <c r="AP106" s="74"/>
      <c r="AQ106" s="75"/>
      <c r="AR106" s="15"/>
      <c r="AS106" s="15"/>
      <c r="AT106" s="15"/>
      <c r="AU106" s="15"/>
      <c r="AV106" s="15"/>
      <c r="AW106" s="15"/>
      <c r="AX106" s="15"/>
      <c r="AY106" s="15"/>
      <c r="AZ106" s="15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</row>
    <row r="107" spans="2:76" ht="13.5" hidden="1" thickBot="1" x14ac:dyDescent="0.25">
      <c r="B107" s="171"/>
      <c r="C107" s="33" t="s">
        <v>53</v>
      </c>
      <c r="D107" s="25" t="s">
        <v>84</v>
      </c>
      <c r="E107" s="110">
        <f>1719*1.05</f>
        <v>1804.95</v>
      </c>
      <c r="F107" s="110">
        <f>1853*1.05</f>
        <v>1945.65</v>
      </c>
      <c r="G107" s="110">
        <f>1987*1.05</f>
        <v>2086.35</v>
      </c>
      <c r="H107" s="110">
        <f>2054*1.05</f>
        <v>2156.7000000000003</v>
      </c>
      <c r="I107" s="110">
        <f>2155*1.05</f>
        <v>2262.75</v>
      </c>
      <c r="J107" s="110">
        <f>2222*1.05</f>
        <v>2333.1</v>
      </c>
      <c r="K107" s="110">
        <f>2356*1.05</f>
        <v>2473.8000000000002</v>
      </c>
      <c r="L107" s="111">
        <f>2522*1.05</f>
        <v>2648.1</v>
      </c>
      <c r="M107" s="110">
        <v>2789</v>
      </c>
      <c r="N107" s="159"/>
      <c r="O107" s="74"/>
      <c r="P107" s="75"/>
      <c r="Q107" s="15"/>
      <c r="R107" s="15"/>
      <c r="S107" s="15"/>
      <c r="T107" s="15"/>
      <c r="U107" s="15"/>
      <c r="V107" s="15"/>
      <c r="W107" s="15"/>
      <c r="X107" s="15"/>
      <c r="Y107" s="15"/>
      <c r="Z107" s="3"/>
      <c r="AA107" s="3"/>
      <c r="AB107" s="159"/>
      <c r="AC107" s="74"/>
      <c r="AD107" s="75"/>
      <c r="AE107" s="15"/>
      <c r="AF107" s="15"/>
      <c r="AG107" s="15"/>
      <c r="AH107" s="15"/>
      <c r="AI107" s="15"/>
      <c r="AJ107" s="15"/>
      <c r="AK107" s="15"/>
      <c r="AL107" s="15"/>
      <c r="AM107" s="15"/>
      <c r="AN107" s="3"/>
      <c r="AO107" s="159"/>
      <c r="AP107" s="74"/>
      <c r="AQ107" s="75"/>
      <c r="AR107" s="15"/>
      <c r="AS107" s="15"/>
      <c r="AT107" s="15"/>
      <c r="AU107" s="15"/>
      <c r="AV107" s="15"/>
      <c r="AW107" s="15"/>
      <c r="AX107" s="15"/>
      <c r="AY107" s="15"/>
      <c r="AZ107" s="15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</row>
    <row r="108" spans="2:76" ht="13.5" hidden="1" thickBot="1" x14ac:dyDescent="0.25">
      <c r="B108" s="171"/>
      <c r="C108" s="33" t="s">
        <v>54</v>
      </c>
      <c r="D108" s="25" t="s">
        <v>85</v>
      </c>
      <c r="E108" s="110">
        <f>1804*1.05</f>
        <v>1894.2</v>
      </c>
      <c r="F108" s="110">
        <f>1937*1.05</f>
        <v>2033.8500000000001</v>
      </c>
      <c r="G108" s="110">
        <f>2071*1.05</f>
        <v>2174.5500000000002</v>
      </c>
      <c r="H108" s="110">
        <f>2138*1.05</f>
        <v>2244.9</v>
      </c>
      <c r="I108" s="110">
        <f>2239*1.05</f>
        <v>2350.9500000000003</v>
      </c>
      <c r="J108" s="110">
        <f>2306*1.05</f>
        <v>2421.3000000000002</v>
      </c>
      <c r="K108" s="110">
        <f>2440*1.05</f>
        <v>2562</v>
      </c>
      <c r="L108" s="111">
        <f>2607*1.05</f>
        <v>2737.35</v>
      </c>
      <c r="M108" s="110">
        <v>2905</v>
      </c>
      <c r="N108" s="159"/>
      <c r="O108" s="74"/>
      <c r="P108" s="75"/>
      <c r="Q108" s="15"/>
      <c r="R108" s="15"/>
      <c r="S108" s="15"/>
      <c r="T108" s="15"/>
      <c r="U108" s="15"/>
      <c r="V108" s="15"/>
      <c r="W108" s="15"/>
      <c r="X108" s="15"/>
      <c r="Y108" s="15"/>
      <c r="Z108" s="3"/>
      <c r="AA108" s="3"/>
      <c r="AB108" s="159"/>
      <c r="AC108" s="74"/>
      <c r="AD108" s="75"/>
      <c r="AE108" s="15"/>
      <c r="AF108" s="15"/>
      <c r="AG108" s="15"/>
      <c r="AH108" s="15"/>
      <c r="AI108" s="15"/>
      <c r="AJ108" s="15"/>
      <c r="AK108" s="15"/>
      <c r="AL108" s="15"/>
      <c r="AM108" s="15"/>
      <c r="AN108" s="3"/>
      <c r="AO108" s="159"/>
      <c r="AP108" s="74"/>
      <c r="AQ108" s="75"/>
      <c r="AR108" s="15"/>
      <c r="AS108" s="15"/>
      <c r="AT108" s="15"/>
      <c r="AU108" s="15"/>
      <c r="AV108" s="15"/>
      <c r="AW108" s="15"/>
      <c r="AX108" s="15"/>
      <c r="AY108" s="15"/>
      <c r="AZ108" s="15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</row>
    <row r="109" spans="2:76" ht="13.5" hidden="1" thickBot="1" x14ac:dyDescent="0.25">
      <c r="B109" s="171"/>
      <c r="C109" s="33" t="s">
        <v>55</v>
      </c>
      <c r="D109" s="25" t="s">
        <v>86</v>
      </c>
      <c r="E109" s="110">
        <f>1857*1.05</f>
        <v>1949.8500000000001</v>
      </c>
      <c r="F109" s="110">
        <f>2017*1.05</f>
        <v>2117.85</v>
      </c>
      <c r="G109" s="110">
        <f>2176*1.05</f>
        <v>2284.8000000000002</v>
      </c>
      <c r="H109" s="110">
        <f>2257*1.05</f>
        <v>2369.85</v>
      </c>
      <c r="I109" s="110">
        <f>2376*1.05</f>
        <v>2494.8000000000002</v>
      </c>
      <c r="J109" s="110">
        <f>2456*1.05</f>
        <v>2578.8000000000002</v>
      </c>
      <c r="K109" s="110">
        <f>2615*1.05</f>
        <v>2745.75</v>
      </c>
      <c r="L109" s="111">
        <f>2815*1.05</f>
        <v>2955.75</v>
      </c>
      <c r="M109" s="110">
        <v>3124</v>
      </c>
      <c r="N109" s="73"/>
      <c r="O109" s="74"/>
      <c r="P109" s="75"/>
      <c r="Q109" s="15"/>
      <c r="R109" s="15"/>
      <c r="S109" s="15"/>
      <c r="T109" s="15"/>
      <c r="U109" s="15"/>
      <c r="V109" s="15"/>
      <c r="W109" s="15"/>
      <c r="X109" s="15"/>
      <c r="Y109" s="15"/>
      <c r="Z109" s="3"/>
      <c r="AA109" s="3"/>
      <c r="AB109" s="73"/>
      <c r="AC109" s="74"/>
      <c r="AD109" s="75"/>
      <c r="AE109" s="15"/>
      <c r="AF109" s="15"/>
      <c r="AG109" s="15"/>
      <c r="AH109" s="15"/>
      <c r="AI109" s="15"/>
      <c r="AJ109" s="15"/>
      <c r="AK109" s="15"/>
      <c r="AL109" s="15"/>
      <c r="AM109" s="15"/>
      <c r="AN109" s="3"/>
      <c r="AO109" s="73"/>
      <c r="AP109" s="74"/>
      <c r="AQ109" s="75"/>
      <c r="AR109" s="15"/>
      <c r="AS109" s="15"/>
      <c r="AT109" s="15"/>
      <c r="AU109" s="15"/>
      <c r="AV109" s="15"/>
      <c r="AW109" s="15"/>
      <c r="AX109" s="15"/>
      <c r="AY109" s="15"/>
      <c r="AZ109" s="15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</row>
    <row r="110" spans="2:76" ht="13.5" hidden="1" thickBot="1" x14ac:dyDescent="0.25">
      <c r="B110" s="171"/>
      <c r="C110" s="33" t="s">
        <v>56</v>
      </c>
      <c r="D110" s="25" t="s">
        <v>87</v>
      </c>
      <c r="E110" s="110">
        <f>1911*1.05</f>
        <v>2006.5500000000002</v>
      </c>
      <c r="F110" s="110">
        <f>2070*1.05</f>
        <v>2173.5</v>
      </c>
      <c r="G110" s="110">
        <f>2230*1.05</f>
        <v>2341.5</v>
      </c>
      <c r="H110" s="110">
        <f>2310*1.05</f>
        <v>2425.5</v>
      </c>
      <c r="I110" s="110">
        <f>2430*1.05</f>
        <v>2551.5</v>
      </c>
      <c r="J110" s="110">
        <f>2509*1.05</f>
        <v>2634.4500000000003</v>
      </c>
      <c r="K110" s="110">
        <f>2669*1.05</f>
        <v>2802.4500000000003</v>
      </c>
      <c r="L110" s="111">
        <f>2869*1.05</f>
        <v>3012.4500000000003</v>
      </c>
      <c r="M110" s="110">
        <v>3179</v>
      </c>
      <c r="N110" s="73"/>
      <c r="O110" s="74"/>
      <c r="P110" s="75"/>
      <c r="Q110" s="15"/>
      <c r="R110" s="15"/>
      <c r="S110" s="15"/>
      <c r="T110" s="15"/>
      <c r="U110" s="15"/>
      <c r="V110" s="15"/>
      <c r="W110" s="15"/>
      <c r="X110" s="15"/>
      <c r="Y110" s="15"/>
      <c r="Z110" s="3"/>
      <c r="AA110" s="3"/>
      <c r="AB110" s="73"/>
      <c r="AC110" s="74"/>
      <c r="AD110" s="75"/>
      <c r="AE110" s="15"/>
      <c r="AF110" s="15"/>
      <c r="AG110" s="15"/>
      <c r="AH110" s="15"/>
      <c r="AI110" s="15"/>
      <c r="AJ110" s="15"/>
      <c r="AK110" s="15"/>
      <c r="AL110" s="15"/>
      <c r="AM110" s="15"/>
      <c r="AN110" s="3"/>
      <c r="AO110" s="73"/>
      <c r="AP110" s="74"/>
      <c r="AQ110" s="75"/>
      <c r="AR110" s="15"/>
      <c r="AS110" s="15"/>
      <c r="AT110" s="15"/>
      <c r="AU110" s="15"/>
      <c r="AV110" s="15"/>
      <c r="AW110" s="15"/>
      <c r="AX110" s="15"/>
      <c r="AY110" s="15"/>
      <c r="AZ110" s="15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</row>
    <row r="111" spans="2:76" ht="13.5" hidden="1" thickBot="1" x14ac:dyDescent="0.25">
      <c r="B111" s="171"/>
      <c r="C111" s="33" t="s">
        <v>57</v>
      </c>
      <c r="D111" s="25" t="s">
        <v>88</v>
      </c>
      <c r="E111" s="110">
        <f>1976*1.05</f>
        <v>2074.8000000000002</v>
      </c>
      <c r="F111" s="110">
        <f>2145*1.05</f>
        <v>2252.25</v>
      </c>
      <c r="G111" s="110">
        <f>2323*1.05</f>
        <v>2439.15</v>
      </c>
      <c r="H111" s="110">
        <f>2411*1.05</f>
        <v>2531.5500000000002</v>
      </c>
      <c r="I111" s="110">
        <f>2545*1.05</f>
        <v>2672.25</v>
      </c>
      <c r="J111" s="110">
        <f>2634*1.05</f>
        <v>2765.7000000000003</v>
      </c>
      <c r="K111" s="110">
        <f>2811*1.05</f>
        <v>2951.55</v>
      </c>
      <c r="L111" s="111">
        <f>3033*1.05</f>
        <v>3184.65</v>
      </c>
      <c r="M111" s="110">
        <v>3373</v>
      </c>
      <c r="N111" s="73"/>
      <c r="O111" s="74"/>
      <c r="P111" s="75"/>
      <c r="Q111" s="15"/>
      <c r="R111" s="15"/>
      <c r="S111" s="15"/>
      <c r="T111" s="15"/>
      <c r="U111" s="15"/>
      <c r="V111" s="15"/>
      <c r="W111" s="15"/>
      <c r="X111" s="15"/>
      <c r="Y111" s="15"/>
      <c r="Z111" s="3"/>
      <c r="AA111" s="3"/>
      <c r="AB111" s="73"/>
      <c r="AC111" s="74"/>
      <c r="AD111" s="75"/>
      <c r="AE111" s="15"/>
      <c r="AF111" s="15"/>
      <c r="AG111" s="15"/>
      <c r="AH111" s="15"/>
      <c r="AI111" s="15"/>
      <c r="AJ111" s="15"/>
      <c r="AK111" s="15"/>
      <c r="AL111" s="15"/>
      <c r="AM111" s="15"/>
      <c r="AN111" s="3"/>
      <c r="AO111" s="73"/>
      <c r="AP111" s="74"/>
      <c r="AQ111" s="75"/>
      <c r="AR111" s="15"/>
      <c r="AS111" s="15"/>
      <c r="AT111" s="15"/>
      <c r="AU111" s="15"/>
      <c r="AV111" s="15"/>
      <c r="AW111" s="15"/>
      <c r="AX111" s="15"/>
      <c r="AY111" s="15"/>
      <c r="AZ111" s="15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</row>
    <row r="112" spans="2:76" ht="13.5" hidden="1" thickBot="1" x14ac:dyDescent="0.25">
      <c r="B112" s="171"/>
      <c r="C112" s="28" t="s">
        <v>58</v>
      </c>
      <c r="D112" s="34" t="s">
        <v>89</v>
      </c>
      <c r="E112" s="110">
        <f>2039*1.05</f>
        <v>2140.9500000000003</v>
      </c>
      <c r="F112" s="110">
        <f>2218*1.05</f>
        <v>2328.9</v>
      </c>
      <c r="G112" s="110">
        <f>2395*1.05</f>
        <v>2514.75</v>
      </c>
      <c r="H112" s="110">
        <f>2483*1.05</f>
        <v>2607.15</v>
      </c>
      <c r="I112" s="110">
        <f>2617*1.05</f>
        <v>2747.85</v>
      </c>
      <c r="J112" s="110">
        <f>2706*1.05</f>
        <v>2841.3</v>
      </c>
      <c r="K112" s="110">
        <f>2883*1.05</f>
        <v>3027.15</v>
      </c>
      <c r="L112" s="111">
        <f>3105*1.05</f>
        <v>3260.25</v>
      </c>
      <c r="M112" s="110">
        <v>3448</v>
      </c>
      <c r="N112" s="73"/>
      <c r="O112" s="74"/>
      <c r="P112" s="75"/>
      <c r="Q112" s="15"/>
      <c r="R112" s="15"/>
      <c r="S112" s="15"/>
      <c r="T112" s="15"/>
      <c r="U112" s="15"/>
      <c r="V112" s="15"/>
      <c r="W112" s="15"/>
      <c r="X112" s="15"/>
      <c r="Y112" s="15"/>
      <c r="Z112" s="3"/>
      <c r="AA112" s="3"/>
      <c r="AB112" s="73"/>
      <c r="AC112" s="74"/>
      <c r="AD112" s="75"/>
      <c r="AE112" s="15"/>
      <c r="AF112" s="15"/>
      <c r="AG112" s="15"/>
      <c r="AH112" s="15"/>
      <c r="AI112" s="15"/>
      <c r="AJ112" s="15"/>
      <c r="AK112" s="15"/>
      <c r="AL112" s="15"/>
      <c r="AM112" s="15"/>
      <c r="AN112" s="3"/>
      <c r="AO112" s="73"/>
      <c r="AP112" s="74"/>
      <c r="AQ112" s="75"/>
      <c r="AR112" s="15"/>
      <c r="AS112" s="15"/>
      <c r="AT112" s="15"/>
      <c r="AU112" s="15"/>
      <c r="AV112" s="15"/>
      <c r="AW112" s="15"/>
      <c r="AX112" s="15"/>
      <c r="AY112" s="15"/>
      <c r="AZ112" s="15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</row>
    <row r="113" spans="2:76" ht="13.5" hidden="1" thickBot="1" x14ac:dyDescent="0.25">
      <c r="B113" s="21" t="s">
        <v>130</v>
      </c>
      <c r="C113" s="29" t="s">
        <v>40</v>
      </c>
      <c r="D113" s="30" t="s">
        <v>75</v>
      </c>
      <c r="E113" s="112">
        <f>1508*1.05</f>
        <v>1583.4</v>
      </c>
      <c r="F113" s="110">
        <f>1632*1.05</f>
        <v>1713.6000000000001</v>
      </c>
      <c r="G113" s="110">
        <f>1755*1.05</f>
        <v>1842.75</v>
      </c>
      <c r="H113" s="110">
        <f>1817*1.05</f>
        <v>1907.8500000000001</v>
      </c>
      <c r="I113" s="110">
        <f>1910*1.05</f>
        <v>2005.5</v>
      </c>
      <c r="J113" s="110">
        <f>1971*1.05</f>
        <v>2069.5500000000002</v>
      </c>
      <c r="K113" s="110">
        <f>2095*1.05</f>
        <v>2199.75</v>
      </c>
      <c r="L113" s="111">
        <f>2250*1.05</f>
        <v>2362.5</v>
      </c>
      <c r="M113" s="110">
        <v>2492</v>
      </c>
      <c r="N113" s="73"/>
      <c r="O113" s="74"/>
      <c r="P113" s="75"/>
      <c r="Q113" s="15"/>
      <c r="R113" s="15"/>
      <c r="S113" s="15"/>
      <c r="T113" s="15"/>
      <c r="U113" s="15"/>
      <c r="V113" s="15"/>
      <c r="W113" s="15"/>
      <c r="X113" s="15"/>
      <c r="Y113" s="15"/>
      <c r="Z113" s="3"/>
      <c r="AA113" s="3"/>
      <c r="AB113" s="73"/>
      <c r="AC113" s="74"/>
      <c r="AD113" s="75"/>
      <c r="AE113" s="15"/>
      <c r="AF113" s="15"/>
      <c r="AG113" s="15"/>
      <c r="AH113" s="15"/>
      <c r="AI113" s="15"/>
      <c r="AJ113" s="15"/>
      <c r="AK113" s="15"/>
      <c r="AL113" s="15"/>
      <c r="AM113" s="15"/>
      <c r="AN113" s="3"/>
      <c r="AO113" s="73"/>
      <c r="AP113" s="74"/>
      <c r="AQ113" s="75"/>
      <c r="AR113" s="15"/>
      <c r="AS113" s="15"/>
      <c r="AT113" s="15"/>
      <c r="AU113" s="15"/>
      <c r="AV113" s="15"/>
      <c r="AW113" s="15"/>
      <c r="AX113" s="15"/>
      <c r="AY113" s="15"/>
      <c r="AZ113" s="15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</row>
    <row r="114" spans="2:76" ht="13.5" hidden="1" thickBot="1" x14ac:dyDescent="0.25">
      <c r="B114" s="35" t="s">
        <v>131</v>
      </c>
      <c r="C114" s="31" t="s">
        <v>41</v>
      </c>
      <c r="D114" s="36" t="s">
        <v>76</v>
      </c>
      <c r="E114" s="110">
        <f>1658*1.05</f>
        <v>1740.9</v>
      </c>
      <c r="F114" s="110">
        <f>1792*1.05</f>
        <v>1881.6000000000001</v>
      </c>
      <c r="G114" s="110">
        <f>1926*1.05</f>
        <v>2022.3000000000002</v>
      </c>
      <c r="H114" s="110">
        <f>1993*1.05</f>
        <v>2092.65</v>
      </c>
      <c r="I114" s="110">
        <f>2093*1.05</f>
        <v>2197.65</v>
      </c>
      <c r="J114" s="110">
        <f>2160*1.05</f>
        <v>2268</v>
      </c>
      <c r="K114" s="110">
        <f>2294*1.05</f>
        <v>2408.7000000000003</v>
      </c>
      <c r="L114" s="111">
        <f>2462*1.05</f>
        <v>2585.1</v>
      </c>
      <c r="M114" s="110">
        <v>2726</v>
      </c>
      <c r="N114" s="73"/>
      <c r="O114" s="74"/>
      <c r="P114" s="75"/>
      <c r="Q114" s="15"/>
      <c r="R114" s="15"/>
      <c r="S114" s="15"/>
      <c r="T114" s="15"/>
      <c r="U114" s="15"/>
      <c r="V114" s="15"/>
      <c r="W114" s="15"/>
      <c r="X114" s="15"/>
      <c r="Y114" s="15"/>
      <c r="Z114" s="3"/>
      <c r="AA114" s="3"/>
      <c r="AB114" s="73"/>
      <c r="AC114" s="74"/>
      <c r="AD114" s="75"/>
      <c r="AE114" s="15"/>
      <c r="AF114" s="15"/>
      <c r="AG114" s="15"/>
      <c r="AH114" s="15"/>
      <c r="AI114" s="15"/>
      <c r="AJ114" s="15"/>
      <c r="AK114" s="15"/>
      <c r="AL114" s="15"/>
      <c r="AM114" s="15"/>
      <c r="AN114" s="3"/>
      <c r="AO114" s="73"/>
      <c r="AP114" s="74"/>
      <c r="AQ114" s="75"/>
      <c r="AR114" s="15"/>
      <c r="AS114" s="15"/>
      <c r="AT114" s="15"/>
      <c r="AU114" s="15"/>
      <c r="AV114" s="15"/>
      <c r="AW114" s="15"/>
      <c r="AX114" s="15"/>
      <c r="AY114" s="15"/>
      <c r="AZ114" s="15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</row>
    <row r="115" spans="2:76" ht="13.5" hidden="1" thickBot="1" x14ac:dyDescent="0.25">
      <c r="B115" s="35" t="s">
        <v>7</v>
      </c>
      <c r="C115" s="31" t="s">
        <v>42</v>
      </c>
      <c r="D115" s="36" t="s">
        <v>77</v>
      </c>
      <c r="E115" s="110">
        <f>600*1.05</f>
        <v>630</v>
      </c>
      <c r="F115" s="110">
        <f>680*1.05</f>
        <v>714</v>
      </c>
      <c r="G115" s="110">
        <f>761*1.05</f>
        <v>799.05000000000007</v>
      </c>
      <c r="H115" s="110">
        <f>801*1.05</f>
        <v>841.05000000000007</v>
      </c>
      <c r="I115" s="110">
        <f>862*1.05</f>
        <v>905.1</v>
      </c>
      <c r="J115" s="110">
        <f>902*1.05</f>
        <v>947.1</v>
      </c>
      <c r="K115" s="110">
        <f>983*1.05</f>
        <v>1032.1500000000001</v>
      </c>
      <c r="L115" s="111">
        <f>1083*1.05</f>
        <v>1137.1500000000001</v>
      </c>
      <c r="M115" s="110">
        <v>1222</v>
      </c>
      <c r="N115" s="73"/>
      <c r="O115" s="74"/>
      <c r="P115" s="75"/>
      <c r="Q115" s="15"/>
      <c r="R115" s="15"/>
      <c r="S115" s="15"/>
      <c r="T115" s="15"/>
      <c r="U115" s="15"/>
      <c r="V115" s="15"/>
      <c r="W115" s="15"/>
      <c r="X115" s="15"/>
      <c r="Y115" s="15"/>
      <c r="Z115" s="3"/>
      <c r="AA115" s="3"/>
      <c r="AB115" s="73"/>
      <c r="AC115" s="74"/>
      <c r="AD115" s="75"/>
      <c r="AE115" s="15"/>
      <c r="AF115" s="15"/>
      <c r="AG115" s="15"/>
      <c r="AH115" s="15"/>
      <c r="AI115" s="15"/>
      <c r="AJ115" s="15"/>
      <c r="AK115" s="15"/>
      <c r="AL115" s="15"/>
      <c r="AM115" s="15"/>
      <c r="AN115" s="3"/>
      <c r="AO115" s="73"/>
      <c r="AP115" s="74"/>
      <c r="AQ115" s="75"/>
      <c r="AR115" s="15"/>
      <c r="AS115" s="15"/>
      <c r="AT115" s="15"/>
      <c r="AU115" s="15"/>
      <c r="AV115" s="15"/>
      <c r="AW115" s="15"/>
      <c r="AX115" s="15"/>
      <c r="AY115" s="15"/>
      <c r="AZ115" s="15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</row>
    <row r="116" spans="2:76" ht="13.5" hidden="1" thickBot="1" x14ac:dyDescent="0.25">
      <c r="B116" s="21" t="s">
        <v>135</v>
      </c>
      <c r="C116" s="37" t="s">
        <v>59</v>
      </c>
      <c r="D116" s="25" t="s">
        <v>91</v>
      </c>
      <c r="E116" s="112">
        <f>2152*1.05</f>
        <v>2259.6</v>
      </c>
      <c r="F116" s="110">
        <f>2339*1.05</f>
        <v>2455.9500000000003</v>
      </c>
      <c r="G116" s="110">
        <f>2436*1.05</f>
        <v>2557.8000000000002</v>
      </c>
      <c r="H116" s="110">
        <f>2557*1.05</f>
        <v>2684.85</v>
      </c>
      <c r="I116" s="110">
        <f>2604*1.05</f>
        <v>2734.2000000000003</v>
      </c>
      <c r="J116" s="110">
        <f>2678*1.05</f>
        <v>2811.9</v>
      </c>
      <c r="K116" s="110">
        <f>2826*1.05</f>
        <v>2967.3</v>
      </c>
      <c r="L116" s="111">
        <f>3012*1.05</f>
        <v>3162.6</v>
      </c>
      <c r="M116" s="110">
        <v>3318</v>
      </c>
      <c r="N116" s="76"/>
      <c r="O116" s="74"/>
      <c r="P116" s="75"/>
      <c r="Q116" s="15"/>
      <c r="R116" s="15"/>
      <c r="S116" s="15"/>
      <c r="T116" s="15"/>
      <c r="U116" s="15"/>
      <c r="V116" s="15"/>
      <c r="W116" s="15"/>
      <c r="X116" s="15"/>
      <c r="Y116" s="15"/>
      <c r="Z116" s="3"/>
      <c r="AA116" s="3"/>
      <c r="AB116" s="76"/>
      <c r="AC116" s="74"/>
      <c r="AD116" s="75"/>
      <c r="AE116" s="15"/>
      <c r="AF116" s="15"/>
      <c r="AG116" s="15"/>
      <c r="AH116" s="15"/>
      <c r="AI116" s="15"/>
      <c r="AJ116" s="15"/>
      <c r="AK116" s="15"/>
      <c r="AL116" s="15"/>
      <c r="AM116" s="15"/>
      <c r="AN116" s="3"/>
      <c r="AO116" s="76"/>
      <c r="AP116" s="74"/>
      <c r="AQ116" s="75"/>
      <c r="AR116" s="15"/>
      <c r="AS116" s="15"/>
      <c r="AT116" s="15"/>
      <c r="AU116" s="15"/>
      <c r="AV116" s="15"/>
      <c r="AW116" s="15"/>
      <c r="AX116" s="15"/>
      <c r="AY116" s="15"/>
      <c r="AZ116" s="15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</row>
    <row r="117" spans="2:76" ht="13.5" hidden="1" thickBot="1" x14ac:dyDescent="0.25">
      <c r="B117" s="38" t="s">
        <v>132</v>
      </c>
      <c r="C117" s="28" t="s">
        <v>59</v>
      </c>
      <c r="D117" s="25" t="s">
        <v>91</v>
      </c>
      <c r="E117" s="112">
        <f>2152*1.05</f>
        <v>2259.6</v>
      </c>
      <c r="F117" s="110">
        <f>2381*1.05</f>
        <v>2500.0500000000002</v>
      </c>
      <c r="G117" s="110">
        <f>2508*1.05</f>
        <v>2633.4</v>
      </c>
      <c r="H117" s="110">
        <f>2662*1.05</f>
        <v>2795.1</v>
      </c>
      <c r="I117" s="110">
        <f>2735*1.05</f>
        <v>2871.75</v>
      </c>
      <c r="J117" s="110">
        <f>2830*1.05</f>
        <v>2971.5</v>
      </c>
      <c r="K117" s="110">
        <f>3020*1.05</f>
        <v>3171</v>
      </c>
      <c r="L117" s="111">
        <f>3257*1.05</f>
        <v>3419.8500000000004</v>
      </c>
      <c r="M117" s="110">
        <v>3618</v>
      </c>
      <c r="N117" s="76"/>
      <c r="O117" s="74"/>
      <c r="P117" s="75"/>
      <c r="Q117" s="15"/>
      <c r="R117" s="15"/>
      <c r="S117" s="15"/>
      <c r="T117" s="15"/>
      <c r="U117" s="15"/>
      <c r="V117" s="15"/>
      <c r="W117" s="15"/>
      <c r="X117" s="15"/>
      <c r="Y117" s="15"/>
      <c r="Z117" s="3"/>
      <c r="AA117" s="3"/>
      <c r="AB117" s="76"/>
      <c r="AC117" s="74"/>
      <c r="AD117" s="75"/>
      <c r="AE117" s="15"/>
      <c r="AF117" s="15"/>
      <c r="AG117" s="15"/>
      <c r="AH117" s="15"/>
      <c r="AI117" s="15"/>
      <c r="AJ117" s="15"/>
      <c r="AK117" s="15"/>
      <c r="AL117" s="15"/>
      <c r="AM117" s="15"/>
      <c r="AN117" s="3"/>
      <c r="AO117" s="76"/>
      <c r="AP117" s="74"/>
      <c r="AQ117" s="75"/>
      <c r="AR117" s="15"/>
      <c r="AS117" s="15"/>
      <c r="AT117" s="15"/>
      <c r="AU117" s="15"/>
      <c r="AV117" s="15"/>
      <c r="AW117" s="15"/>
      <c r="AX117" s="15"/>
      <c r="AY117" s="15"/>
      <c r="AZ117" s="15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</row>
    <row r="118" spans="2:76" ht="13.5" hidden="1" thickBot="1" x14ac:dyDescent="0.25">
      <c r="B118" s="21" t="s">
        <v>10</v>
      </c>
      <c r="C118" s="39" t="s">
        <v>60</v>
      </c>
      <c r="D118" s="25" t="s">
        <v>92</v>
      </c>
      <c r="E118" s="112">
        <f>1683*1.05</f>
        <v>1767.15</v>
      </c>
      <c r="F118" s="110">
        <f>1879*1.05</f>
        <v>1972.95</v>
      </c>
      <c r="G118" s="110">
        <f>2074*1.05</f>
        <v>2177.7000000000003</v>
      </c>
      <c r="H118" s="110">
        <f>2172*1.05</f>
        <v>2280.6</v>
      </c>
      <c r="I118" s="110">
        <f>2320*1.05</f>
        <v>2436</v>
      </c>
      <c r="J118" s="110">
        <f>2417*1.05</f>
        <v>2537.85</v>
      </c>
      <c r="K118" s="110">
        <f>2613*1.05</f>
        <v>2743.65</v>
      </c>
      <c r="L118" s="111">
        <f>2857*1.05</f>
        <v>2999.85</v>
      </c>
      <c r="M118" s="110">
        <v>3206</v>
      </c>
      <c r="N118" s="76"/>
      <c r="O118" s="74"/>
      <c r="P118" s="75"/>
      <c r="Q118" s="15"/>
      <c r="R118" s="15"/>
      <c r="S118" s="15"/>
      <c r="T118" s="15"/>
      <c r="U118" s="15"/>
      <c r="V118" s="15"/>
      <c r="W118" s="15"/>
      <c r="X118" s="15"/>
      <c r="Y118" s="15"/>
      <c r="Z118" s="3"/>
      <c r="AA118" s="3"/>
      <c r="AB118" s="76"/>
      <c r="AC118" s="74"/>
      <c r="AD118" s="75"/>
      <c r="AE118" s="15"/>
      <c r="AF118" s="15"/>
      <c r="AG118" s="15"/>
      <c r="AH118" s="15"/>
      <c r="AI118" s="15"/>
      <c r="AJ118" s="15"/>
      <c r="AK118" s="15"/>
      <c r="AL118" s="15"/>
      <c r="AM118" s="15"/>
      <c r="AN118" s="3"/>
      <c r="AO118" s="76"/>
      <c r="AP118" s="74"/>
      <c r="AQ118" s="75"/>
      <c r="AR118" s="15"/>
      <c r="AS118" s="15"/>
      <c r="AT118" s="15"/>
      <c r="AU118" s="15"/>
      <c r="AV118" s="15"/>
      <c r="AW118" s="15"/>
      <c r="AX118" s="15"/>
      <c r="AY118" s="15"/>
      <c r="AZ118" s="15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</row>
    <row r="119" spans="2:76" ht="13.5" hidden="1" thickBot="1" x14ac:dyDescent="0.25">
      <c r="B119" s="40" t="s">
        <v>29</v>
      </c>
      <c r="C119" s="39" t="s">
        <v>60</v>
      </c>
      <c r="D119" s="25" t="s">
        <v>92</v>
      </c>
      <c r="E119" s="112">
        <f>1913*1.05</f>
        <v>2008.65</v>
      </c>
      <c r="F119" s="110">
        <f>2108*1.05</f>
        <v>2213.4</v>
      </c>
      <c r="G119" s="110">
        <f>2304*1.05</f>
        <v>2419.2000000000003</v>
      </c>
      <c r="H119" s="110">
        <f>2402*1.05</f>
        <v>2522.1</v>
      </c>
      <c r="I119" s="110">
        <f>2548*1.05</f>
        <v>2675.4</v>
      </c>
      <c r="J119" s="110">
        <f>2646*1.05</f>
        <v>2778.3</v>
      </c>
      <c r="K119" s="110">
        <f>2842*1.05</f>
        <v>2984.1</v>
      </c>
      <c r="L119" s="111">
        <f>3087*1.05</f>
        <v>3241.3500000000004</v>
      </c>
      <c r="M119" s="110">
        <v>3447</v>
      </c>
      <c r="N119" s="77"/>
      <c r="O119" s="74"/>
      <c r="P119" s="75"/>
      <c r="Q119" s="15"/>
      <c r="R119" s="15"/>
      <c r="S119" s="15"/>
      <c r="T119" s="15"/>
      <c r="U119" s="15"/>
      <c r="V119" s="15"/>
      <c r="W119" s="15"/>
      <c r="X119" s="15"/>
      <c r="Y119" s="15"/>
      <c r="Z119" s="3"/>
      <c r="AA119" s="3"/>
      <c r="AB119" s="77"/>
      <c r="AC119" s="74"/>
      <c r="AD119" s="75"/>
      <c r="AE119" s="15"/>
      <c r="AF119" s="15"/>
      <c r="AG119" s="15"/>
      <c r="AH119" s="15"/>
      <c r="AI119" s="15"/>
      <c r="AJ119" s="15"/>
      <c r="AK119" s="15"/>
      <c r="AL119" s="15"/>
      <c r="AM119" s="15"/>
      <c r="AN119" s="3"/>
      <c r="AO119" s="77"/>
      <c r="AP119" s="74"/>
      <c r="AQ119" s="75"/>
      <c r="AR119" s="15"/>
      <c r="AS119" s="15"/>
      <c r="AT119" s="15"/>
      <c r="AU119" s="15"/>
      <c r="AV119" s="15"/>
      <c r="AW119" s="15"/>
      <c r="AX119" s="15"/>
      <c r="AY119" s="15"/>
      <c r="AZ119" s="15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</row>
    <row r="120" spans="2:76" ht="13.5" hidden="1" thickBot="1" x14ac:dyDescent="0.25">
      <c r="B120" s="41" t="s">
        <v>39</v>
      </c>
      <c r="C120" s="42" t="s">
        <v>44</v>
      </c>
      <c r="D120" s="43" t="s">
        <v>98</v>
      </c>
      <c r="E120" s="113">
        <f>2331*1.05</f>
        <v>2447.5500000000002</v>
      </c>
      <c r="F120" s="114">
        <f>2511*1.05</f>
        <v>2636.55</v>
      </c>
      <c r="G120" s="114">
        <f>2691*1.05</f>
        <v>2825.55</v>
      </c>
      <c r="H120" s="114">
        <f>2781*1.05</f>
        <v>2920.05</v>
      </c>
      <c r="I120" s="114">
        <f>2916*1.05</f>
        <v>3061.8</v>
      </c>
      <c r="J120" s="114">
        <f>3006*1.05</f>
        <v>3156.3</v>
      </c>
      <c r="K120" s="114">
        <f>3186*1.05</f>
        <v>3345.3</v>
      </c>
      <c r="L120" s="115">
        <f>3411*1.05</f>
        <v>3581.55</v>
      </c>
      <c r="M120" s="114">
        <v>3771</v>
      </c>
      <c r="N120" s="77"/>
      <c r="O120" s="74"/>
      <c r="P120" s="75"/>
      <c r="Q120" s="15"/>
      <c r="R120" s="15"/>
      <c r="S120" s="15"/>
      <c r="T120" s="15"/>
      <c r="U120" s="15"/>
      <c r="V120" s="15"/>
      <c r="W120" s="15"/>
      <c r="X120" s="15"/>
      <c r="Y120" s="15"/>
      <c r="Z120" s="3"/>
      <c r="AA120" s="3"/>
      <c r="AB120" s="77"/>
      <c r="AC120" s="74"/>
      <c r="AD120" s="75"/>
      <c r="AE120" s="15"/>
      <c r="AF120" s="15"/>
      <c r="AG120" s="15"/>
      <c r="AH120" s="15"/>
      <c r="AI120" s="15"/>
      <c r="AJ120" s="15"/>
      <c r="AK120" s="15"/>
      <c r="AL120" s="15"/>
      <c r="AM120" s="15"/>
      <c r="AN120" s="3"/>
      <c r="AO120" s="77"/>
      <c r="AP120" s="74"/>
      <c r="AQ120" s="75"/>
      <c r="AR120" s="15"/>
      <c r="AS120" s="15"/>
      <c r="AT120" s="15"/>
      <c r="AU120" s="15"/>
      <c r="AV120" s="15"/>
      <c r="AW120" s="15"/>
      <c r="AX120" s="15"/>
      <c r="AY120" s="15"/>
      <c r="AZ120" s="15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</row>
    <row r="121" spans="2:76" ht="13.5" hidden="1" thickBot="1" x14ac:dyDescent="0.25">
      <c r="B121" s="41" t="s">
        <v>38</v>
      </c>
      <c r="C121" s="47" t="s">
        <v>64</v>
      </c>
      <c r="D121" s="25" t="s">
        <v>99</v>
      </c>
      <c r="E121" s="112">
        <f>1678*1.05</f>
        <v>1761.9</v>
      </c>
      <c r="F121" s="110">
        <f>1930*1.05</f>
        <v>2026.5</v>
      </c>
      <c r="G121" s="110">
        <f>2182*1.05</f>
        <v>2291.1</v>
      </c>
      <c r="H121" s="110">
        <f>2308*1.05</f>
        <v>2423.4</v>
      </c>
      <c r="I121" s="110">
        <f>2497*1.05</f>
        <v>2621.85</v>
      </c>
      <c r="J121" s="110">
        <f>2623*1.05</f>
        <v>2754.15</v>
      </c>
      <c r="K121" s="110">
        <f>2875*1.05</f>
        <v>3018.75</v>
      </c>
      <c r="L121" s="111">
        <f>3190*1.05</f>
        <v>3349.5</v>
      </c>
      <c r="M121" s="110">
        <v>3614</v>
      </c>
      <c r="N121" s="77"/>
      <c r="O121" s="74"/>
      <c r="P121" s="75"/>
      <c r="Q121" s="15"/>
      <c r="R121" s="15"/>
      <c r="S121" s="15"/>
      <c r="T121" s="15"/>
      <c r="U121" s="15"/>
      <c r="V121" s="15"/>
      <c r="W121" s="15"/>
      <c r="X121" s="15"/>
      <c r="Y121" s="15"/>
      <c r="Z121" s="3"/>
      <c r="AA121" s="3"/>
      <c r="AB121" s="77"/>
      <c r="AC121" s="74"/>
      <c r="AD121" s="75"/>
      <c r="AE121" s="15"/>
      <c r="AF121" s="15"/>
      <c r="AG121" s="15"/>
      <c r="AH121" s="15"/>
      <c r="AI121" s="15"/>
      <c r="AJ121" s="15"/>
      <c r="AK121" s="15"/>
      <c r="AL121" s="15"/>
      <c r="AM121" s="15"/>
      <c r="AN121" s="3"/>
      <c r="AO121" s="77"/>
      <c r="AP121" s="74"/>
      <c r="AQ121" s="75"/>
      <c r="AR121" s="15"/>
      <c r="AS121" s="15"/>
      <c r="AT121" s="15"/>
      <c r="AU121" s="15"/>
      <c r="AV121" s="15"/>
      <c r="AW121" s="15"/>
      <c r="AX121" s="15"/>
      <c r="AY121" s="15"/>
      <c r="AZ121" s="15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</row>
    <row r="122" spans="2:76" ht="13.5" hidden="1" thickBot="1" x14ac:dyDescent="0.25">
      <c r="B122" s="41" t="s">
        <v>25</v>
      </c>
      <c r="C122" s="48" t="s">
        <v>59</v>
      </c>
      <c r="D122" s="32" t="s">
        <v>21</v>
      </c>
      <c r="E122" s="116">
        <f>1974*1.05</f>
        <v>2072.7000000000003</v>
      </c>
      <c r="F122" s="117">
        <f>2156*1.05</f>
        <v>2263.8000000000002</v>
      </c>
      <c r="G122" s="117">
        <f>2338*1.05</f>
        <v>2454.9</v>
      </c>
      <c r="H122" s="117">
        <f>2429*1.05</f>
        <v>2550.4500000000003</v>
      </c>
      <c r="I122" s="117">
        <f>2565*1.05</f>
        <v>2693.25</v>
      </c>
      <c r="J122" s="117">
        <f>2656*1.05</f>
        <v>2788.8</v>
      </c>
      <c r="K122" s="117">
        <f>2838*1.05</f>
        <v>2979.9</v>
      </c>
      <c r="L122" s="118">
        <f>3066*1.05</f>
        <v>3219.3</v>
      </c>
      <c r="M122" s="117">
        <v>3410</v>
      </c>
      <c r="N122" s="77"/>
      <c r="O122" s="74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3"/>
      <c r="AA122" s="3"/>
      <c r="AB122" s="77"/>
      <c r="AC122" s="74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3"/>
      <c r="AO122" s="77"/>
      <c r="AP122" s="74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</row>
    <row r="123" spans="2:76" ht="13.5" hidden="1" thickBot="1" x14ac:dyDescent="0.25">
      <c r="B123" s="51" t="s">
        <v>28</v>
      </c>
      <c r="C123" s="39" t="s">
        <v>59</v>
      </c>
      <c r="D123" s="25" t="s">
        <v>21</v>
      </c>
      <c r="E123" s="112">
        <f>2171*1.05</f>
        <v>2279.5500000000002</v>
      </c>
      <c r="F123" s="110">
        <f>2353*1.05</f>
        <v>2470.65</v>
      </c>
      <c r="G123" s="110">
        <f>2535*1.05</f>
        <v>2661.75</v>
      </c>
      <c r="H123" s="110">
        <f>2626*1.05</f>
        <v>2757.3</v>
      </c>
      <c r="I123" s="110">
        <f>2762*1.05</f>
        <v>2900.1</v>
      </c>
      <c r="J123" s="110">
        <f>2853*1.05</f>
        <v>2995.65</v>
      </c>
      <c r="K123" s="110">
        <f>3035*1.05</f>
        <v>3186.75</v>
      </c>
      <c r="L123" s="111">
        <f>3263*1.05</f>
        <v>3426.15</v>
      </c>
      <c r="M123" s="110">
        <v>3617</v>
      </c>
      <c r="N123" s="77"/>
      <c r="O123" s="74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3"/>
      <c r="AA123" s="3"/>
      <c r="AB123" s="77"/>
      <c r="AC123" s="74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3"/>
      <c r="AO123" s="77"/>
      <c r="AP123" s="74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</row>
    <row r="124" spans="2:76" ht="13.5" hidden="1" thickBot="1" x14ac:dyDescent="0.25">
      <c r="B124" s="52" t="s">
        <v>133</v>
      </c>
      <c r="C124" s="39" t="s">
        <v>2</v>
      </c>
      <c r="D124" s="25" t="s">
        <v>27</v>
      </c>
      <c r="E124" s="112">
        <f>2331*1.05</f>
        <v>2447.5500000000002</v>
      </c>
      <c r="F124" s="110">
        <f>2515*1.05</f>
        <v>2640.75</v>
      </c>
      <c r="G124" s="110">
        <f>2699*1.05</f>
        <v>2833.9500000000003</v>
      </c>
      <c r="H124" s="110">
        <f>2791*1.05</f>
        <v>2930.55</v>
      </c>
      <c r="I124" s="110">
        <f>2929*1.05</f>
        <v>3075.4500000000003</v>
      </c>
      <c r="J124" s="110">
        <f>3021*1.05</f>
        <v>3172.05</v>
      </c>
      <c r="K124" s="110">
        <f>3205*1.05</f>
        <v>3365.25</v>
      </c>
      <c r="L124" s="111">
        <f>3435*1.05</f>
        <v>3606.75</v>
      </c>
      <c r="M124" s="110">
        <v>3800</v>
      </c>
      <c r="N124" s="76"/>
      <c r="O124" s="74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3"/>
      <c r="AA124" s="3"/>
      <c r="AB124" s="76"/>
      <c r="AC124" s="74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3"/>
      <c r="AO124" s="76"/>
      <c r="AP124" s="74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</row>
    <row r="125" spans="2:76" ht="13.5" hidden="1" thickBot="1" x14ac:dyDescent="0.25">
      <c r="B125" s="52" t="s">
        <v>134</v>
      </c>
      <c r="C125" s="39" t="s">
        <v>2</v>
      </c>
      <c r="D125" s="25" t="s">
        <v>27</v>
      </c>
      <c r="E125" s="112">
        <f>2525*1.05</f>
        <v>2651.25</v>
      </c>
      <c r="F125" s="110">
        <f>2557*1.05</f>
        <v>2684.85</v>
      </c>
      <c r="G125" s="110">
        <f>2787*1.05</f>
        <v>2926.35</v>
      </c>
      <c r="H125" s="110">
        <f>2902*1.05</f>
        <v>3047.1</v>
      </c>
      <c r="I125" s="110">
        <f>3074*1.05</f>
        <v>3227.7000000000003</v>
      </c>
      <c r="J125" s="110">
        <f>3189*1.05</f>
        <v>3348.4500000000003</v>
      </c>
      <c r="K125" s="110">
        <f>3419*1.05</f>
        <v>3589.9500000000003</v>
      </c>
      <c r="L125" s="111">
        <f>3707*1.05</f>
        <v>3892.3500000000004</v>
      </c>
      <c r="M125" s="110">
        <v>4134</v>
      </c>
      <c r="N125" s="76"/>
      <c r="O125" s="74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3"/>
      <c r="AA125" s="3"/>
      <c r="AB125" s="76"/>
      <c r="AC125" s="74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3"/>
      <c r="AO125" s="76"/>
      <c r="AP125" s="74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</row>
    <row r="126" spans="2:76" hidden="1" x14ac:dyDescent="0.2">
      <c r="B126" s="53" t="s">
        <v>136</v>
      </c>
      <c r="C126" s="39" t="s">
        <v>152</v>
      </c>
      <c r="D126" s="45" t="s">
        <v>73</v>
      </c>
      <c r="E126" s="113">
        <f>2656*1.05</f>
        <v>2788.8</v>
      </c>
      <c r="F126" s="114">
        <f>2856*1.05</f>
        <v>2998.8</v>
      </c>
      <c r="G126" s="114">
        <f>3056*1.05</f>
        <v>3208.8</v>
      </c>
      <c r="H126" s="114">
        <f>3156*1.05</f>
        <v>3313.8</v>
      </c>
      <c r="I126" s="114">
        <f>3306*1.05</f>
        <v>3471.3</v>
      </c>
      <c r="J126" s="114">
        <f>3406*1.05</f>
        <v>3576.3</v>
      </c>
      <c r="K126" s="114">
        <f>3606*1.05</f>
        <v>3786.3</v>
      </c>
      <c r="L126" s="115">
        <f>3856*1.05</f>
        <v>4048.8</v>
      </c>
      <c r="M126" s="114">
        <v>4259</v>
      </c>
      <c r="N126" s="76"/>
      <c r="O126" s="74"/>
      <c r="P126" s="78"/>
      <c r="Q126" s="15"/>
      <c r="R126" s="15"/>
      <c r="S126" s="15"/>
      <c r="T126" s="15"/>
      <c r="U126" s="15"/>
      <c r="V126" s="15"/>
      <c r="W126" s="15"/>
      <c r="X126" s="15"/>
      <c r="Y126" s="15"/>
      <c r="Z126" s="3"/>
      <c r="AA126" s="3"/>
      <c r="AB126" s="76"/>
      <c r="AC126" s="74"/>
      <c r="AD126" s="78"/>
      <c r="AE126" s="15"/>
      <c r="AF126" s="15"/>
      <c r="AG126" s="15"/>
      <c r="AH126" s="15"/>
      <c r="AI126" s="15"/>
      <c r="AJ126" s="15"/>
      <c r="AK126" s="15"/>
      <c r="AL126" s="15"/>
      <c r="AM126" s="15"/>
      <c r="AN126" s="3"/>
      <c r="AO126" s="76"/>
      <c r="AP126" s="74"/>
      <c r="AQ126" s="78"/>
      <c r="AR126" s="15"/>
      <c r="AS126" s="15"/>
      <c r="AT126" s="15"/>
      <c r="AU126" s="15"/>
      <c r="AV126" s="15"/>
      <c r="AW126" s="15"/>
      <c r="AX126" s="15"/>
      <c r="AY126" s="15"/>
      <c r="AZ126" s="15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</row>
    <row r="127" spans="2:76" ht="13.5" hidden="1" thickBot="1" x14ac:dyDescent="0.25">
      <c r="B127" s="52" t="s">
        <v>137</v>
      </c>
      <c r="C127" s="39" t="s">
        <v>152</v>
      </c>
      <c r="D127" s="45" t="s">
        <v>73</v>
      </c>
      <c r="E127" s="113">
        <f>2675*1.05</f>
        <v>2808.75</v>
      </c>
      <c r="F127" s="114">
        <f>2955*1.05</f>
        <v>3102.75</v>
      </c>
      <c r="G127" s="114">
        <f>3235*1.05</f>
        <v>3396.75</v>
      </c>
      <c r="H127" s="114">
        <f>3375*1.05</f>
        <v>3543.75</v>
      </c>
      <c r="I127" s="114">
        <f>3585*1.05</f>
        <v>3764.25</v>
      </c>
      <c r="J127" s="114">
        <f>3725*1.05</f>
        <v>3911.25</v>
      </c>
      <c r="K127" s="114">
        <f>4005*1.05</f>
        <v>4205.25</v>
      </c>
      <c r="L127" s="115">
        <f>4355*1.05</f>
        <v>4572.75</v>
      </c>
      <c r="M127" s="114">
        <v>4867</v>
      </c>
      <c r="N127" s="76"/>
      <c r="O127" s="74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3"/>
      <c r="AA127" s="3"/>
      <c r="AB127" s="76"/>
      <c r="AC127" s="74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3"/>
      <c r="AO127" s="76"/>
      <c r="AP127" s="74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</row>
    <row r="128" spans="2:76" ht="13.5" hidden="1" thickBot="1" x14ac:dyDescent="0.25">
      <c r="B128" s="54" t="s">
        <v>19</v>
      </c>
      <c r="C128" s="39" t="s">
        <v>65</v>
      </c>
      <c r="D128" s="24" t="s">
        <v>24</v>
      </c>
      <c r="E128" s="112">
        <f>1485*1.05</f>
        <v>1559.25</v>
      </c>
      <c r="F128" s="110">
        <f>1621*1.05</f>
        <v>1702.0500000000002</v>
      </c>
      <c r="G128" s="110">
        <f>1757*1.05</f>
        <v>1844.8500000000001</v>
      </c>
      <c r="H128" s="110">
        <f>1825*1.05</f>
        <v>1916.25</v>
      </c>
      <c r="I128" s="110">
        <f>1927*1.05</f>
        <v>2023.3500000000001</v>
      </c>
      <c r="J128" s="110">
        <f>1995*1.05</f>
        <v>2094.75</v>
      </c>
      <c r="K128" s="110">
        <f>2131*1.05</f>
        <v>2237.5500000000002</v>
      </c>
      <c r="L128" s="111">
        <f>2301*1.05</f>
        <v>2416.0500000000002</v>
      </c>
      <c r="M128" s="110">
        <v>2559</v>
      </c>
      <c r="N128" s="76"/>
      <c r="O128" s="74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3"/>
      <c r="AA128" s="3"/>
      <c r="AB128" s="76"/>
      <c r="AC128" s="74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3"/>
      <c r="AO128" s="76"/>
      <c r="AP128" s="74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</row>
    <row r="129" spans="2:76" ht="13.5" hidden="1" thickBot="1" x14ac:dyDescent="0.25">
      <c r="B129" s="41" t="s">
        <v>34</v>
      </c>
      <c r="C129" s="39" t="s">
        <v>43</v>
      </c>
      <c r="D129" s="24" t="s">
        <v>35</v>
      </c>
      <c r="E129" s="112">
        <f>949*1.05</f>
        <v>996.45</v>
      </c>
      <c r="F129" s="110">
        <f>1037*1.05</f>
        <v>1088.8500000000001</v>
      </c>
      <c r="G129" s="110">
        <f>1125*1.05</f>
        <v>1181.25</v>
      </c>
      <c r="H129" s="110">
        <f>1169*1.05</f>
        <v>1227.45</v>
      </c>
      <c r="I129" s="110">
        <f>1235*1.05</f>
        <v>1296.75</v>
      </c>
      <c r="J129" s="110">
        <f>1279*1.05</f>
        <v>1342.95</v>
      </c>
      <c r="K129" s="110">
        <f>1367*1.05</f>
        <v>1435.3500000000001</v>
      </c>
      <c r="L129" s="111">
        <f>1477*1.05</f>
        <v>1550.8500000000001</v>
      </c>
      <c r="M129" s="110">
        <v>1643</v>
      </c>
      <c r="N129" s="76"/>
      <c r="O129" s="74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3"/>
      <c r="AA129" s="3"/>
      <c r="AB129" s="76"/>
      <c r="AC129" s="74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3"/>
      <c r="AO129" s="76"/>
      <c r="AP129" s="74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</row>
    <row r="130" spans="2:76" hidden="1" x14ac:dyDescent="0.2">
      <c r="B130" s="54" t="s">
        <v>138</v>
      </c>
      <c r="C130" s="39" t="s">
        <v>70</v>
      </c>
      <c r="D130" s="55" t="s">
        <v>103</v>
      </c>
      <c r="E130" s="119">
        <f>2156.63*1.05</f>
        <v>2264.4615000000003</v>
      </c>
      <c r="F130" s="120">
        <f>2354.63*1.05</f>
        <v>2472.3615000000004</v>
      </c>
      <c r="G130" s="120">
        <f>2552.63*1.05</f>
        <v>2680.2615000000001</v>
      </c>
      <c r="H130" s="120">
        <f>2651.63*1.05</f>
        <v>2784.2115000000003</v>
      </c>
      <c r="I130" s="120">
        <f>2800.13*1.05</f>
        <v>2940.1365000000001</v>
      </c>
      <c r="J130" s="120">
        <f>2899.13*1.05</f>
        <v>3044.0865000000003</v>
      </c>
      <c r="K130" s="120">
        <f>3097.13*1.05</f>
        <v>3251.9865000000004</v>
      </c>
      <c r="L130" s="121">
        <f>3344.63*1.05</f>
        <v>3511.8615000000004</v>
      </c>
      <c r="M130" s="120">
        <v>3720</v>
      </c>
      <c r="N130" s="76"/>
      <c r="O130" s="74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3"/>
      <c r="AA130" s="3"/>
      <c r="AB130" s="76"/>
      <c r="AC130" s="74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3"/>
      <c r="AO130" s="76"/>
      <c r="AP130" s="74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</row>
    <row r="131" spans="2:76" ht="13.5" hidden="1" thickBot="1" x14ac:dyDescent="0.25">
      <c r="B131" s="41" t="s">
        <v>162</v>
      </c>
      <c r="C131" s="39"/>
      <c r="D131" s="55"/>
      <c r="E131" s="110">
        <v>2317</v>
      </c>
      <c r="F131" s="110">
        <v>2492</v>
      </c>
      <c r="G131" s="110">
        <v>2666</v>
      </c>
      <c r="H131" s="110">
        <v>2753</v>
      </c>
      <c r="I131" s="110">
        <v>2885</v>
      </c>
      <c r="J131" s="110">
        <v>2972</v>
      </c>
      <c r="K131" s="110">
        <v>3146</v>
      </c>
      <c r="L131" s="111">
        <v>3364</v>
      </c>
      <c r="M131" s="110">
        <v>3538</v>
      </c>
      <c r="N131" s="76"/>
      <c r="O131" s="74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3"/>
      <c r="AA131" s="3"/>
      <c r="AB131" s="76"/>
      <c r="AC131" s="74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3"/>
      <c r="AO131" s="76"/>
      <c r="AP131" s="74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</row>
    <row r="132" spans="2:76" ht="13.5" hidden="1" thickBot="1" x14ac:dyDescent="0.25">
      <c r="B132" s="41" t="s">
        <v>164</v>
      </c>
      <c r="C132" s="39"/>
      <c r="D132" s="55"/>
      <c r="E132" s="119">
        <v>1538</v>
      </c>
      <c r="F132" s="120">
        <v>1662</v>
      </c>
      <c r="G132" s="120">
        <v>1738</v>
      </c>
      <c r="H132" s="120">
        <v>1848</v>
      </c>
      <c r="I132" s="120">
        <v>1941</v>
      </c>
      <c r="J132" s="120">
        <v>2003</v>
      </c>
      <c r="K132" s="120">
        <v>2127</v>
      </c>
      <c r="L132" s="121">
        <v>2282</v>
      </c>
      <c r="M132" s="120">
        <v>2406</v>
      </c>
      <c r="N132" s="76"/>
      <c r="O132" s="74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3"/>
      <c r="AA132" s="3"/>
      <c r="AB132" s="76"/>
      <c r="AC132" s="74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3"/>
      <c r="AO132" s="76"/>
      <c r="AP132" s="74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</row>
    <row r="133" spans="2:76" ht="13.5" hidden="1" thickBot="1" x14ac:dyDescent="0.25">
      <c r="B133" s="41" t="s">
        <v>139</v>
      </c>
      <c r="C133" s="39" t="s">
        <v>71</v>
      </c>
      <c r="D133" s="45" t="s">
        <v>118</v>
      </c>
      <c r="E133" s="113">
        <f>1665*1.05</f>
        <v>1748.25</v>
      </c>
      <c r="F133" s="114">
        <f>1845*1.05</f>
        <v>1937.25</v>
      </c>
      <c r="G133" s="114">
        <f>2025*1.05</f>
        <v>2126.25</v>
      </c>
      <c r="H133" s="114">
        <f>2115*1.05</f>
        <v>2220.75</v>
      </c>
      <c r="I133" s="114">
        <f>2250*1.05</f>
        <v>2362.5</v>
      </c>
      <c r="J133" s="114">
        <f>2340*1.05</f>
        <v>2457</v>
      </c>
      <c r="K133" s="114">
        <f>2520*1.05</f>
        <v>2646</v>
      </c>
      <c r="L133" s="115">
        <f>2745*1.05</f>
        <v>2882.25</v>
      </c>
      <c r="M133" s="114">
        <v>3071</v>
      </c>
      <c r="N133" s="76"/>
      <c r="O133" s="74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3"/>
      <c r="AA133" s="3"/>
      <c r="AB133" s="76"/>
      <c r="AC133" s="74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3"/>
      <c r="AO133" s="76"/>
      <c r="AP133" s="74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</row>
    <row r="134" spans="2:76" hidden="1" x14ac:dyDescent="0.2">
      <c r="B134" s="56" t="s">
        <v>140</v>
      </c>
      <c r="C134" s="39" t="s">
        <v>65</v>
      </c>
      <c r="D134" s="45" t="s">
        <v>104</v>
      </c>
      <c r="E134" s="113">
        <f>1889*1.05</f>
        <v>1983.45</v>
      </c>
      <c r="F134" s="114">
        <f>2085*1.05</f>
        <v>2189.25</v>
      </c>
      <c r="G134" s="114">
        <f>2281*1.05</f>
        <v>2395.0500000000002</v>
      </c>
      <c r="H134" s="114">
        <f>2379*1.05</f>
        <v>2497.9500000000003</v>
      </c>
      <c r="I134" s="114">
        <f>2526*1.05</f>
        <v>2652.3</v>
      </c>
      <c r="J134" s="114">
        <f>2624*1.05</f>
        <v>2755.2000000000003</v>
      </c>
      <c r="K134" s="114">
        <f>2820*1.05</f>
        <v>2961</v>
      </c>
      <c r="L134" s="115">
        <f>3065*1.05</f>
        <v>3218.25</v>
      </c>
      <c r="M134" s="114">
        <v>3424</v>
      </c>
      <c r="N134" s="76"/>
      <c r="O134" s="74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3"/>
      <c r="AA134" s="3"/>
      <c r="AB134" s="76"/>
      <c r="AC134" s="74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3"/>
      <c r="AO134" s="76"/>
      <c r="AP134" s="74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</row>
    <row r="135" spans="2:76" ht="13.5" hidden="1" thickBot="1" x14ac:dyDescent="0.25">
      <c r="B135" s="41" t="s">
        <v>141</v>
      </c>
      <c r="C135" s="39" t="s">
        <v>72</v>
      </c>
      <c r="D135" s="45" t="s">
        <v>105</v>
      </c>
      <c r="E135" s="113">
        <f>(1923-100+65)*1.05</f>
        <v>1982.4</v>
      </c>
      <c r="F135" s="114">
        <f>(2117-100+65)*1.05</f>
        <v>2186.1</v>
      </c>
      <c r="G135" s="114">
        <f>(2311-100+65)*1.05</f>
        <v>2389.8000000000002</v>
      </c>
      <c r="H135" s="114">
        <f>(2408-100+65)*1.05</f>
        <v>2491.65</v>
      </c>
      <c r="I135" s="114">
        <f>(2553-100+65)*1.05</f>
        <v>2643.9</v>
      </c>
      <c r="J135" s="114">
        <f>(2650-100+65)*1.05</f>
        <v>2745.75</v>
      </c>
      <c r="K135" s="114">
        <f>(2844-100+65)*1.05</f>
        <v>2949.4500000000003</v>
      </c>
      <c r="L135" s="115">
        <f>(3087-100+65)*1.05</f>
        <v>3204.6</v>
      </c>
      <c r="M135" s="114">
        <v>3579</v>
      </c>
      <c r="N135" s="76"/>
      <c r="O135" s="74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3"/>
      <c r="AA135" s="3"/>
      <c r="AB135" s="76"/>
      <c r="AC135" s="74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3"/>
      <c r="AO135" s="76"/>
      <c r="AP135" s="74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</row>
    <row r="136" spans="2:76" hidden="1" x14ac:dyDescent="0.2">
      <c r="B136" s="56" t="s">
        <v>142</v>
      </c>
      <c r="C136" s="39" t="s">
        <v>95</v>
      </c>
      <c r="D136" s="45" t="s">
        <v>94</v>
      </c>
      <c r="E136" s="113">
        <f>(1712-50)*1.05</f>
        <v>1745.1000000000001</v>
      </c>
      <c r="F136" s="114">
        <f>(1868-50)*1.05</f>
        <v>1908.9</v>
      </c>
      <c r="G136" s="114">
        <f>(2024-50)*1.05</f>
        <v>2072.7000000000003</v>
      </c>
      <c r="H136" s="114">
        <f>(2102-50)*1.05</f>
        <v>2154.6</v>
      </c>
      <c r="I136" s="114">
        <f>(2219-50)*1.05</f>
        <v>2277.4500000000003</v>
      </c>
      <c r="J136" s="114">
        <f>(2297-50)*1.05</f>
        <v>2359.35</v>
      </c>
      <c r="K136" s="114">
        <f>(2453-50)*1.05</f>
        <v>2523.15</v>
      </c>
      <c r="L136" s="115">
        <f>(2648-50)*1.05</f>
        <v>2727.9</v>
      </c>
      <c r="M136" s="114">
        <v>2892</v>
      </c>
      <c r="N136" s="76"/>
      <c r="O136" s="74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3"/>
      <c r="AA136" s="3"/>
      <c r="AB136" s="76"/>
      <c r="AC136" s="74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3"/>
      <c r="AO136" s="76"/>
      <c r="AP136" s="74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</row>
    <row r="137" spans="2:76" ht="13.5" hidden="1" thickBot="1" x14ac:dyDescent="0.25">
      <c r="B137" s="41" t="s">
        <v>155</v>
      </c>
      <c r="C137" s="39" t="s">
        <v>156</v>
      </c>
      <c r="D137" s="45" t="s">
        <v>157</v>
      </c>
      <c r="E137" s="113">
        <v>2381</v>
      </c>
      <c r="F137" s="114">
        <v>2661</v>
      </c>
      <c r="G137" s="114">
        <v>2940</v>
      </c>
      <c r="H137" s="114">
        <v>3080</v>
      </c>
      <c r="I137" s="114">
        <v>3289</v>
      </c>
      <c r="J137" s="114">
        <v>3428</v>
      </c>
      <c r="K137" s="114">
        <v>3708</v>
      </c>
      <c r="L137" s="115">
        <v>4057</v>
      </c>
      <c r="M137" s="114">
        <v>4337</v>
      </c>
      <c r="N137" s="76"/>
      <c r="O137" s="74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3"/>
      <c r="AA137" s="3"/>
      <c r="AB137" s="76"/>
      <c r="AC137" s="74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3"/>
      <c r="AO137" s="76"/>
      <c r="AP137" s="74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</row>
    <row r="138" spans="2:76" hidden="1" x14ac:dyDescent="0.2">
      <c r="B138" s="54" t="s">
        <v>143</v>
      </c>
      <c r="C138" s="39" t="s">
        <v>44</v>
      </c>
      <c r="D138" s="45" t="s">
        <v>106</v>
      </c>
      <c r="E138" s="113">
        <f>1986*1.05</f>
        <v>2085.3000000000002</v>
      </c>
      <c r="F138" s="114">
        <f>2114*1.05</f>
        <v>2219.7000000000003</v>
      </c>
      <c r="G138" s="114">
        <f>2242*1.05</f>
        <v>2354.1</v>
      </c>
      <c r="H138" s="114">
        <f>2306*1.05</f>
        <v>2421.3000000000002</v>
      </c>
      <c r="I138" s="114">
        <f>2402*1.05</f>
        <v>2522.1</v>
      </c>
      <c r="J138" s="114">
        <f>2466*1.05</f>
        <v>2589.3000000000002</v>
      </c>
      <c r="K138" s="114">
        <f>2594*1.05</f>
        <v>2723.7000000000003</v>
      </c>
      <c r="L138" s="115">
        <f>2754*1.05</f>
        <v>2891.7000000000003</v>
      </c>
      <c r="M138" s="114">
        <v>3026</v>
      </c>
      <c r="N138" s="76"/>
      <c r="O138" s="74"/>
      <c r="P138" s="15"/>
      <c r="Q138" s="12"/>
      <c r="R138" s="15"/>
      <c r="S138" s="12"/>
      <c r="T138" s="12"/>
      <c r="U138" s="12"/>
      <c r="V138" s="12"/>
      <c r="W138" s="12"/>
      <c r="X138" s="12"/>
      <c r="Y138" s="12"/>
      <c r="Z138" s="3"/>
      <c r="AA138" s="3"/>
      <c r="AB138" s="76"/>
      <c r="AC138" s="74"/>
      <c r="AD138" s="15"/>
      <c r="AE138" s="12"/>
      <c r="AF138" s="15"/>
      <c r="AG138" s="12"/>
      <c r="AH138" s="12"/>
      <c r="AI138" s="12"/>
      <c r="AJ138" s="12"/>
      <c r="AK138" s="12"/>
      <c r="AL138" s="12"/>
      <c r="AM138" s="12"/>
      <c r="AN138" s="3"/>
      <c r="AO138" s="76"/>
      <c r="AP138" s="74"/>
      <c r="AQ138" s="15"/>
      <c r="AR138" s="12"/>
      <c r="AS138" s="15"/>
      <c r="AT138" s="12"/>
      <c r="AU138" s="12"/>
      <c r="AV138" s="12"/>
      <c r="AW138" s="12"/>
      <c r="AX138" s="12"/>
      <c r="AY138" s="12"/>
      <c r="AZ138" s="12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</row>
    <row r="139" spans="2:76" ht="13.5" hidden="1" thickBot="1" x14ac:dyDescent="0.25">
      <c r="B139" s="41" t="s">
        <v>144</v>
      </c>
      <c r="C139" s="39" t="s">
        <v>45</v>
      </c>
      <c r="D139" s="45" t="s">
        <v>107</v>
      </c>
      <c r="E139" s="113">
        <f>2072*1.05</f>
        <v>2175.6</v>
      </c>
      <c r="F139" s="114">
        <f>2218*1.05</f>
        <v>2328.9</v>
      </c>
      <c r="G139" s="114">
        <f>2364*1.05</f>
        <v>2482.2000000000003</v>
      </c>
      <c r="H139" s="114">
        <f>2437*1.05</f>
        <v>2558.85</v>
      </c>
      <c r="I139" s="114">
        <f>2547*1.05</f>
        <v>2674.35</v>
      </c>
      <c r="J139" s="114">
        <f>2620*1.05</f>
        <v>2751</v>
      </c>
      <c r="K139" s="114">
        <f>2766*1.05</f>
        <v>2904.3</v>
      </c>
      <c r="L139" s="115">
        <f>2948*1.05</f>
        <v>3095.4</v>
      </c>
      <c r="M139" s="114">
        <v>3249</v>
      </c>
      <c r="N139" s="76"/>
      <c r="O139" s="74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3"/>
      <c r="AA139" s="3"/>
      <c r="AB139" s="76"/>
      <c r="AC139" s="74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3"/>
      <c r="AO139" s="76"/>
      <c r="AP139" s="74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</row>
    <row r="140" spans="2:76" hidden="1" x14ac:dyDescent="0.2">
      <c r="B140" s="56" t="s">
        <v>145</v>
      </c>
      <c r="C140" s="39" t="s">
        <v>46</v>
      </c>
      <c r="D140" s="45" t="s">
        <v>108</v>
      </c>
      <c r="E140" s="113">
        <f>2263*1.05</f>
        <v>2376.15</v>
      </c>
      <c r="F140" s="114">
        <f>2421*1.05</f>
        <v>2542.0500000000002</v>
      </c>
      <c r="G140" s="114">
        <f>2579*1.05</f>
        <v>2707.9500000000003</v>
      </c>
      <c r="H140" s="114">
        <f>2658*1.05</f>
        <v>2790.9</v>
      </c>
      <c r="I140" s="114">
        <f>2776*1.05</f>
        <v>2914.8</v>
      </c>
      <c r="J140" s="114">
        <f>2855*1.05</f>
        <v>2997.75</v>
      </c>
      <c r="K140" s="114">
        <f>3013*1.05</f>
        <v>3163.65</v>
      </c>
      <c r="L140" s="115">
        <f>3211*1.05</f>
        <v>3371.55</v>
      </c>
      <c r="M140" s="114">
        <v>3537</v>
      </c>
      <c r="N140" s="76"/>
      <c r="O140" s="74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3"/>
      <c r="AA140" s="3"/>
      <c r="AB140" s="76"/>
      <c r="AC140" s="74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3"/>
      <c r="AO140" s="76"/>
      <c r="AP140" s="74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</row>
    <row r="141" spans="2:76" ht="13.5" hidden="1" thickBot="1" x14ac:dyDescent="0.25">
      <c r="B141" s="41" t="s">
        <v>146</v>
      </c>
      <c r="C141" s="42" t="s">
        <v>96</v>
      </c>
      <c r="D141" s="45" t="s">
        <v>115</v>
      </c>
      <c r="E141" s="113">
        <f>2556*1.05</f>
        <v>2683.8</v>
      </c>
      <c r="F141" s="114">
        <f>2723*1.05</f>
        <v>2859.15</v>
      </c>
      <c r="G141" s="114">
        <f>2890*1.05</f>
        <v>3034.5</v>
      </c>
      <c r="H141" s="114">
        <f>2974*1.05</f>
        <v>3122.7000000000003</v>
      </c>
      <c r="I141" s="114">
        <f>3099*1.05</f>
        <v>3253.9500000000003</v>
      </c>
      <c r="J141" s="114">
        <f>3182*1.05</f>
        <v>3341.1000000000004</v>
      </c>
      <c r="K141" s="114">
        <f>3349*1.05</f>
        <v>3516.4500000000003</v>
      </c>
      <c r="L141" s="115">
        <f>3558*1.05</f>
        <v>3735.9</v>
      </c>
      <c r="M141" s="114">
        <v>3911</v>
      </c>
      <c r="N141" s="76"/>
      <c r="O141" s="74"/>
      <c r="P141" s="75"/>
      <c r="Q141" s="15"/>
      <c r="R141" s="15"/>
      <c r="S141" s="15"/>
      <c r="T141" s="15"/>
      <c r="U141" s="15"/>
      <c r="V141" s="15"/>
      <c r="W141" s="15"/>
      <c r="X141" s="15"/>
      <c r="Y141" s="15"/>
      <c r="Z141" s="3"/>
      <c r="AA141" s="3"/>
      <c r="AB141" s="76"/>
      <c r="AC141" s="74"/>
      <c r="AD141" s="75"/>
      <c r="AE141" s="15"/>
      <c r="AF141" s="15"/>
      <c r="AG141" s="15"/>
      <c r="AH141" s="15"/>
      <c r="AI141" s="15"/>
      <c r="AJ141" s="15"/>
      <c r="AK141" s="15"/>
      <c r="AL141" s="15"/>
      <c r="AM141" s="15"/>
      <c r="AN141" s="3"/>
      <c r="AO141" s="76"/>
      <c r="AP141" s="74"/>
      <c r="AQ141" s="75"/>
      <c r="AR141" s="15"/>
      <c r="AS141" s="15"/>
      <c r="AT141" s="15"/>
      <c r="AU141" s="15"/>
      <c r="AV141" s="15"/>
      <c r="AW141" s="15"/>
      <c r="AX141" s="15"/>
      <c r="AY141" s="15"/>
      <c r="AZ141" s="15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</row>
    <row r="142" spans="2:76" ht="13.5" hidden="1" thickBot="1" x14ac:dyDescent="0.25">
      <c r="B142" s="41" t="s">
        <v>163</v>
      </c>
      <c r="C142" s="42"/>
      <c r="D142" s="45"/>
      <c r="E142" s="113">
        <v>2320</v>
      </c>
      <c r="F142" s="114">
        <v>2503</v>
      </c>
      <c r="G142" s="114">
        <v>2686</v>
      </c>
      <c r="H142" s="114">
        <v>2778</v>
      </c>
      <c r="I142" s="114">
        <v>2915</v>
      </c>
      <c r="J142" s="114">
        <v>3007</v>
      </c>
      <c r="K142" s="114">
        <v>3190</v>
      </c>
      <c r="L142" s="115">
        <v>3419</v>
      </c>
      <c r="M142" s="114">
        <v>3603</v>
      </c>
      <c r="N142" s="76"/>
      <c r="O142" s="74"/>
      <c r="P142" s="75"/>
      <c r="Q142" s="15"/>
      <c r="R142" s="15"/>
      <c r="S142" s="15"/>
      <c r="T142" s="15"/>
      <c r="U142" s="15"/>
      <c r="V142" s="15"/>
      <c r="W142" s="15"/>
      <c r="X142" s="15"/>
      <c r="Y142" s="15"/>
      <c r="Z142" s="3"/>
      <c r="AA142" s="3"/>
      <c r="AB142" s="76"/>
      <c r="AC142" s="74"/>
      <c r="AD142" s="75"/>
      <c r="AE142" s="15"/>
      <c r="AF142" s="15"/>
      <c r="AG142" s="15"/>
      <c r="AH142" s="15"/>
      <c r="AI142" s="15"/>
      <c r="AJ142" s="15"/>
      <c r="AK142" s="15"/>
      <c r="AL142" s="15"/>
      <c r="AM142" s="15"/>
      <c r="AN142" s="3"/>
      <c r="AO142" s="76"/>
      <c r="AP142" s="74"/>
      <c r="AQ142" s="75"/>
      <c r="AR142" s="15"/>
      <c r="AS142" s="15"/>
      <c r="AT142" s="15"/>
      <c r="AU142" s="15"/>
      <c r="AV142" s="15"/>
      <c r="AW142" s="15"/>
      <c r="AX142" s="15"/>
      <c r="AY142" s="15"/>
      <c r="AZ142" s="15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</row>
    <row r="143" spans="2:76" ht="13.5" hidden="1" thickBot="1" x14ac:dyDescent="0.25">
      <c r="B143" s="56" t="s">
        <v>20</v>
      </c>
      <c r="C143" s="39" t="s">
        <v>66</v>
      </c>
      <c r="D143" s="24" t="s">
        <v>67</v>
      </c>
      <c r="E143" s="112">
        <f>2263*1.05</f>
        <v>2376.15</v>
      </c>
      <c r="F143" s="110">
        <f>2506*1.05</f>
        <v>2631.3</v>
      </c>
      <c r="G143" s="110">
        <f>2749*1.05</f>
        <v>2886.4500000000003</v>
      </c>
      <c r="H143" s="110">
        <f>2871*1.05</f>
        <v>3014.55</v>
      </c>
      <c r="I143" s="110">
        <f>3053*1.05</f>
        <v>3205.65</v>
      </c>
      <c r="J143" s="110">
        <f>3174*1.05</f>
        <v>3332.7000000000003</v>
      </c>
      <c r="K143" s="110">
        <f>3418*1.05</f>
        <v>3588.9</v>
      </c>
      <c r="L143" s="111">
        <f>3721*1.05</f>
        <v>3907.05</v>
      </c>
      <c r="M143" s="110">
        <v>4162</v>
      </c>
      <c r="N143" s="76"/>
      <c r="O143" s="74"/>
      <c r="P143" s="75"/>
      <c r="Q143" s="15"/>
      <c r="R143" s="15"/>
      <c r="S143" s="15"/>
      <c r="T143" s="15"/>
      <c r="U143" s="15"/>
      <c r="V143" s="15"/>
      <c r="W143" s="15"/>
      <c r="X143" s="15"/>
      <c r="Y143" s="15"/>
      <c r="Z143" s="3"/>
      <c r="AA143" s="3"/>
      <c r="AB143" s="76"/>
      <c r="AC143" s="74"/>
      <c r="AD143" s="75"/>
      <c r="AE143" s="15"/>
      <c r="AF143" s="15"/>
      <c r="AG143" s="15"/>
      <c r="AH143" s="15"/>
      <c r="AI143" s="15"/>
      <c r="AJ143" s="15"/>
      <c r="AK143" s="15"/>
      <c r="AL143" s="15"/>
      <c r="AM143" s="15"/>
      <c r="AN143" s="3"/>
      <c r="AO143" s="76"/>
      <c r="AP143" s="74"/>
      <c r="AQ143" s="75"/>
      <c r="AR143" s="15"/>
      <c r="AS143" s="15"/>
      <c r="AT143" s="15"/>
      <c r="AU143" s="15"/>
      <c r="AV143" s="15"/>
      <c r="AW143" s="15"/>
      <c r="AX143" s="15"/>
      <c r="AY143" s="15"/>
      <c r="AZ143" s="15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</row>
    <row r="144" spans="2:76" ht="13.5" hidden="1" thickBot="1" x14ac:dyDescent="0.25">
      <c r="B144" s="41" t="s">
        <v>151</v>
      </c>
      <c r="C144" s="39" t="s">
        <v>67</v>
      </c>
      <c r="D144" s="24" t="s">
        <v>100</v>
      </c>
      <c r="E144" s="112">
        <f>2708*1.05</f>
        <v>2843.4</v>
      </c>
      <c r="F144" s="110">
        <f>3022*1.05</f>
        <v>3173.1</v>
      </c>
      <c r="G144" s="110">
        <f>3336*1.05</f>
        <v>3502.8</v>
      </c>
      <c r="H144" s="110">
        <f>3493*1.05</f>
        <v>3667.65</v>
      </c>
      <c r="I144" s="110">
        <f>3729*1.05</f>
        <v>3915.4500000000003</v>
      </c>
      <c r="J144" s="110">
        <f>3886*1.05</f>
        <v>4080.3</v>
      </c>
      <c r="K144" s="110">
        <f>4200*1.05</f>
        <v>4410</v>
      </c>
      <c r="L144" s="111">
        <f>4592*1.05</f>
        <v>4821.6000000000004</v>
      </c>
      <c r="M144" s="110">
        <v>5151</v>
      </c>
      <c r="N144" s="73"/>
      <c r="O144" s="74"/>
      <c r="P144" s="75"/>
      <c r="Q144" s="15"/>
      <c r="R144" s="15"/>
      <c r="S144" s="15"/>
      <c r="T144" s="15"/>
      <c r="U144" s="15"/>
      <c r="V144" s="15"/>
      <c r="W144" s="15"/>
      <c r="X144" s="15"/>
      <c r="Y144" s="15"/>
      <c r="Z144" s="3"/>
      <c r="AA144" s="3"/>
      <c r="AB144" s="73"/>
      <c r="AC144" s="74"/>
      <c r="AD144" s="75"/>
      <c r="AE144" s="15"/>
      <c r="AF144" s="15"/>
      <c r="AG144" s="15"/>
      <c r="AH144" s="15"/>
      <c r="AI144" s="15"/>
      <c r="AJ144" s="15"/>
      <c r="AK144" s="15"/>
      <c r="AL144" s="15"/>
      <c r="AM144" s="15"/>
      <c r="AN144" s="3"/>
      <c r="AO144" s="73"/>
      <c r="AP144" s="74"/>
      <c r="AQ144" s="75"/>
      <c r="AR144" s="15"/>
      <c r="AS144" s="15"/>
      <c r="AT144" s="15"/>
      <c r="AU144" s="15"/>
      <c r="AV144" s="15"/>
      <c r="AW144" s="15"/>
      <c r="AX144" s="15"/>
      <c r="AY144" s="15"/>
      <c r="AZ144" s="15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</row>
    <row r="145" spans="2:76" ht="13.5" hidden="1" thickBot="1" x14ac:dyDescent="0.25">
      <c r="B145" s="56" t="s">
        <v>147</v>
      </c>
      <c r="C145" s="39" t="s">
        <v>69</v>
      </c>
      <c r="D145" s="45" t="s">
        <v>102</v>
      </c>
      <c r="E145" s="122">
        <f>3150*1.05</f>
        <v>3307.5</v>
      </c>
      <c r="F145" s="123">
        <f>3400*1.05</f>
        <v>3570</v>
      </c>
      <c r="G145" s="124">
        <f>3650*1.05</f>
        <v>3832.5</v>
      </c>
      <c r="H145" s="124">
        <f>3775*1.05</f>
        <v>3963.75</v>
      </c>
      <c r="I145" s="124">
        <f>3963*1.05</f>
        <v>4161.1500000000005</v>
      </c>
      <c r="J145" s="124">
        <f>4088*1.05</f>
        <v>4292.4000000000005</v>
      </c>
      <c r="K145" s="124">
        <f>4338*1.05</f>
        <v>4554.9000000000005</v>
      </c>
      <c r="L145" s="125">
        <f>4650*1.05</f>
        <v>4882.5</v>
      </c>
      <c r="M145" s="126">
        <v>5145</v>
      </c>
      <c r="N145" s="76"/>
      <c r="O145" s="74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3"/>
      <c r="AA145" s="3"/>
      <c r="AB145" s="76"/>
      <c r="AC145" s="74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3"/>
      <c r="AO145" s="76"/>
      <c r="AP145" s="74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</row>
    <row r="146" spans="2:76" ht="13.5" hidden="1" thickBot="1" x14ac:dyDescent="0.25">
      <c r="B146" s="41" t="s">
        <v>148</v>
      </c>
      <c r="C146" s="39" t="s">
        <v>153</v>
      </c>
      <c r="D146" s="45" t="s">
        <v>154</v>
      </c>
      <c r="E146" s="113">
        <v>3965</v>
      </c>
      <c r="F146" s="114">
        <v>4274</v>
      </c>
      <c r="G146" s="114">
        <v>4582</v>
      </c>
      <c r="H146" s="114">
        <v>4737</v>
      </c>
      <c r="I146" s="114">
        <v>4968</v>
      </c>
      <c r="J146" s="114">
        <v>5122</v>
      </c>
      <c r="K146" s="114">
        <v>5431</v>
      </c>
      <c r="L146" s="115">
        <v>5817</v>
      </c>
      <c r="M146" s="114">
        <v>6126</v>
      </c>
      <c r="N146" s="73"/>
      <c r="O146" s="74"/>
      <c r="P146" s="75"/>
      <c r="Q146" s="15"/>
      <c r="R146" s="15"/>
      <c r="S146" s="15"/>
      <c r="T146" s="15"/>
      <c r="U146" s="15"/>
      <c r="V146" s="15"/>
      <c r="W146" s="15"/>
      <c r="X146" s="15"/>
      <c r="Y146" s="15"/>
      <c r="Z146" s="3"/>
      <c r="AA146" s="3"/>
      <c r="AB146" s="73"/>
      <c r="AC146" s="74"/>
      <c r="AD146" s="75"/>
      <c r="AE146" s="15"/>
      <c r="AF146" s="15"/>
      <c r="AG146" s="15"/>
      <c r="AH146" s="15"/>
      <c r="AI146" s="15"/>
      <c r="AJ146" s="15"/>
      <c r="AK146" s="15"/>
      <c r="AL146" s="15"/>
      <c r="AM146" s="15"/>
      <c r="AN146" s="3"/>
      <c r="AO146" s="73"/>
      <c r="AP146" s="74"/>
      <c r="AQ146" s="75"/>
      <c r="AR146" s="15"/>
      <c r="AS146" s="15"/>
      <c r="AT146" s="15"/>
      <c r="AU146" s="15"/>
      <c r="AV146" s="15"/>
      <c r="AW146" s="15"/>
      <c r="AX146" s="15"/>
      <c r="AY146" s="15"/>
      <c r="AZ146" s="15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</row>
    <row r="147" spans="2:76" hidden="1" x14ac:dyDescent="0.2">
      <c r="B147" s="56" t="s">
        <v>36</v>
      </c>
      <c r="C147" s="39" t="s">
        <v>68</v>
      </c>
      <c r="D147" s="45" t="s">
        <v>101</v>
      </c>
      <c r="E147" s="113">
        <f>4250*1.05</f>
        <v>4462.5</v>
      </c>
      <c r="F147" s="114">
        <f>4518*1.05</f>
        <v>4743.9000000000005</v>
      </c>
      <c r="G147" s="114">
        <f>4786*1.05</f>
        <v>5025.3</v>
      </c>
      <c r="H147" s="114">
        <f>4920*1.05</f>
        <v>5166</v>
      </c>
      <c r="I147" s="114">
        <f>5121*1.05</f>
        <v>5377.05</v>
      </c>
      <c r="J147" s="114">
        <f>5255*1.05</f>
        <v>5517.75</v>
      </c>
      <c r="K147" s="114">
        <f>5523*1.05</f>
        <v>5799.1500000000005</v>
      </c>
      <c r="L147" s="115">
        <f>5858*1.05</f>
        <v>6150.9000000000005</v>
      </c>
      <c r="M147" s="114">
        <v>6432</v>
      </c>
      <c r="N147" s="76"/>
      <c r="O147" s="74"/>
      <c r="P147" s="75"/>
      <c r="Q147" s="15"/>
      <c r="R147" s="15"/>
      <c r="S147" s="15"/>
      <c r="T147" s="15"/>
      <c r="U147" s="15"/>
      <c r="V147" s="15"/>
      <c r="W147" s="15"/>
      <c r="X147" s="15"/>
      <c r="Y147" s="15"/>
      <c r="Z147" s="3"/>
      <c r="AA147" s="3"/>
      <c r="AB147" s="76"/>
      <c r="AC147" s="74"/>
      <c r="AD147" s="75"/>
      <c r="AE147" s="15"/>
      <c r="AF147" s="15"/>
      <c r="AG147" s="15"/>
      <c r="AH147" s="15"/>
      <c r="AI147" s="15"/>
      <c r="AJ147" s="15"/>
      <c r="AK147" s="15"/>
      <c r="AL147" s="15"/>
      <c r="AM147" s="15"/>
      <c r="AN147" s="3"/>
      <c r="AO147" s="76"/>
      <c r="AP147" s="74"/>
      <c r="AQ147" s="75"/>
      <c r="AR147" s="15"/>
      <c r="AS147" s="15"/>
      <c r="AT147" s="15"/>
      <c r="AU147" s="15"/>
      <c r="AV147" s="15"/>
      <c r="AW147" s="15"/>
      <c r="AX147" s="15"/>
      <c r="AY147" s="15"/>
      <c r="AZ147" s="15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</row>
    <row r="148" spans="2:76" ht="13.5" hidden="1" thickBot="1" x14ac:dyDescent="0.25">
      <c r="B148" s="41" t="s">
        <v>18</v>
      </c>
      <c r="C148" s="39" t="s">
        <v>63</v>
      </c>
      <c r="D148" s="25" t="s">
        <v>23</v>
      </c>
      <c r="E148" s="112">
        <f>2428*1.05</f>
        <v>2549.4</v>
      </c>
      <c r="F148" s="110">
        <f>2680*1.05</f>
        <v>2814</v>
      </c>
      <c r="G148" s="110">
        <f>2932*1.05</f>
        <v>3078.6</v>
      </c>
      <c r="H148" s="110">
        <f>3058*1.05</f>
        <v>3210.9</v>
      </c>
      <c r="I148" s="110">
        <f>3247*1.05</f>
        <v>3409.3500000000004</v>
      </c>
      <c r="J148" s="110">
        <f>3373*1.05</f>
        <v>3541.65</v>
      </c>
      <c r="K148" s="110">
        <f>3625*1.05</f>
        <v>3806.25</v>
      </c>
      <c r="L148" s="111">
        <f>3940*1.05</f>
        <v>4137</v>
      </c>
      <c r="M148" s="110">
        <v>4402</v>
      </c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3"/>
      <c r="AA148" s="3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3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</row>
    <row r="149" spans="2:76" ht="13.5" hidden="1" thickBot="1" x14ac:dyDescent="0.25">
      <c r="B149" s="56" t="s">
        <v>17</v>
      </c>
      <c r="C149" s="39" t="s">
        <v>62</v>
      </c>
      <c r="D149" s="57" t="s">
        <v>22</v>
      </c>
      <c r="E149" s="112">
        <f>2423*1.05</f>
        <v>2544.15</v>
      </c>
      <c r="F149" s="110">
        <f>2613*1.05</f>
        <v>2743.65</v>
      </c>
      <c r="G149" s="110">
        <f>2803*1.05</f>
        <v>2943.15</v>
      </c>
      <c r="H149" s="110">
        <f>2898*1.05</f>
        <v>3042.9</v>
      </c>
      <c r="I149" s="110">
        <f>3041*1.05</f>
        <v>3193.05</v>
      </c>
      <c r="J149" s="110">
        <f>3136*1.05</f>
        <v>3292.8</v>
      </c>
      <c r="K149" s="110">
        <f>3326*1.05</f>
        <v>3492.3</v>
      </c>
      <c r="L149" s="111">
        <f>3563*1.05</f>
        <v>3741.15</v>
      </c>
      <c r="M149" s="110">
        <v>3941</v>
      </c>
      <c r="N149" s="15"/>
      <c r="O149" s="15"/>
      <c r="P149" s="15"/>
      <c r="Q149" s="10"/>
      <c r="R149" s="9"/>
      <c r="S149" s="9"/>
      <c r="T149" s="9"/>
      <c r="U149" s="9"/>
      <c r="V149" s="9"/>
      <c r="W149" s="9"/>
      <c r="X149" s="9"/>
      <c r="Y149" s="9"/>
      <c r="Z149" s="3"/>
      <c r="AA149" s="3"/>
      <c r="AB149" s="15"/>
      <c r="AC149" s="15"/>
      <c r="AD149" s="15"/>
      <c r="AE149" s="10"/>
      <c r="AF149" s="9"/>
      <c r="AG149" s="9"/>
      <c r="AH149" s="9"/>
      <c r="AI149" s="9"/>
      <c r="AJ149" s="9"/>
      <c r="AK149" s="9"/>
      <c r="AL149" s="9"/>
      <c r="AM149" s="9"/>
      <c r="AN149" s="3"/>
      <c r="AO149" s="15"/>
      <c r="AP149" s="15"/>
      <c r="AQ149" s="15"/>
      <c r="AR149" s="10"/>
      <c r="AS149" s="9"/>
      <c r="AT149" s="9"/>
      <c r="AU149" s="9"/>
      <c r="AV149" s="9"/>
      <c r="AW149" s="9"/>
      <c r="AX149" s="9"/>
      <c r="AY149" s="9"/>
      <c r="AZ149" s="9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</row>
    <row r="150" spans="2:76" ht="13.5" hidden="1" thickBot="1" x14ac:dyDescent="0.25">
      <c r="B150" s="41" t="s">
        <v>14</v>
      </c>
      <c r="C150" s="39" t="s">
        <v>61</v>
      </c>
      <c r="D150" s="27" t="s">
        <v>15</v>
      </c>
      <c r="E150" s="112">
        <f>2560*1.05</f>
        <v>2688</v>
      </c>
      <c r="F150" s="110">
        <f>2784*1.05</f>
        <v>2923.2000000000003</v>
      </c>
      <c r="G150" s="110">
        <f>3008*1.05</f>
        <v>3158.4</v>
      </c>
      <c r="H150" s="110">
        <f>3120*1.05</f>
        <v>3276</v>
      </c>
      <c r="I150" s="110">
        <f>3288*1.05</f>
        <v>3452.4</v>
      </c>
      <c r="J150" s="110">
        <f>3400*1.05</f>
        <v>3570</v>
      </c>
      <c r="K150" s="110">
        <f>3624*1.05</f>
        <v>3805.2000000000003</v>
      </c>
      <c r="L150" s="111">
        <f>3904*1.05</f>
        <v>4099.2</v>
      </c>
      <c r="M150" s="110">
        <v>4334</v>
      </c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</row>
    <row r="151" spans="2:76" ht="13.5" hidden="1" thickBot="1" x14ac:dyDescent="0.25">
      <c r="B151" s="35" t="s">
        <v>149</v>
      </c>
      <c r="C151" s="58" t="s">
        <v>114</v>
      </c>
      <c r="D151" s="25" t="s">
        <v>97</v>
      </c>
      <c r="E151" s="112">
        <f>751*1.05</f>
        <v>788.55000000000007</v>
      </c>
      <c r="F151" s="110">
        <f>851*1.05</f>
        <v>893.55000000000007</v>
      </c>
      <c r="G151" s="110">
        <f>951*1.05</f>
        <v>998.55000000000007</v>
      </c>
      <c r="H151" s="110">
        <f>1001*1.05</f>
        <v>1051.05</v>
      </c>
      <c r="I151" s="110">
        <f>1076*1.05</f>
        <v>1129.8</v>
      </c>
      <c r="J151" s="110">
        <f>1126*1.05</f>
        <v>1182.3</v>
      </c>
      <c r="K151" s="110">
        <f>1226*1.05</f>
        <v>1287.3</v>
      </c>
      <c r="L151" s="111">
        <f>1351*1.05</f>
        <v>1418.55</v>
      </c>
      <c r="M151" s="110">
        <v>1524</v>
      </c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</row>
    <row r="152" spans="2:76" hidden="1" x14ac:dyDescent="0.2">
      <c r="B152" s="54" t="s">
        <v>37</v>
      </c>
      <c r="C152" s="59" t="s">
        <v>114</v>
      </c>
      <c r="D152" s="45" t="s">
        <v>117</v>
      </c>
      <c r="E152" s="113">
        <f>1049*1.05</f>
        <v>1101.45</v>
      </c>
      <c r="F152" s="113">
        <f>1131*1.05</f>
        <v>1187.55</v>
      </c>
      <c r="G152" s="113">
        <f>1213*1.05</f>
        <v>1273.6500000000001</v>
      </c>
      <c r="H152" s="113">
        <f>1254*1.05</f>
        <v>1316.7</v>
      </c>
      <c r="I152" s="113">
        <f>1316*1.05</f>
        <v>1381.8</v>
      </c>
      <c r="J152" s="113">
        <f>1357*1.05</f>
        <v>1424.8500000000001</v>
      </c>
      <c r="K152" s="113">
        <f>1439*1.05</f>
        <v>1510.95</v>
      </c>
      <c r="L152" s="127">
        <f>1541*1.05</f>
        <v>1618.0500000000002</v>
      </c>
      <c r="M152" s="114">
        <v>1704</v>
      </c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</row>
    <row r="153" spans="2:76" ht="13.5" hidden="1" thickBot="1" x14ac:dyDescent="0.25">
      <c r="B153" s="21" t="s">
        <v>16</v>
      </c>
      <c r="C153" s="42" t="s">
        <v>114</v>
      </c>
      <c r="D153" s="27" t="s">
        <v>93</v>
      </c>
      <c r="E153" s="113">
        <f>875*1.05</f>
        <v>918.75</v>
      </c>
      <c r="F153" s="114">
        <f>971*1.05</f>
        <v>1019.5500000000001</v>
      </c>
      <c r="G153" s="114">
        <f>1067*1.05</f>
        <v>1120.3500000000001</v>
      </c>
      <c r="H153" s="114">
        <f>1115*1.05</f>
        <v>1170.75</v>
      </c>
      <c r="I153" s="114">
        <f>1187*1.05</f>
        <v>1246.3500000000001</v>
      </c>
      <c r="J153" s="114">
        <f>1235*1.05</f>
        <v>1296.75</v>
      </c>
      <c r="K153" s="114">
        <f>1331*1.05</f>
        <v>1397.55</v>
      </c>
      <c r="L153" s="115">
        <f>1451*1.05</f>
        <v>1523.55</v>
      </c>
      <c r="M153" s="114">
        <v>1624</v>
      </c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</row>
    <row r="154" spans="2:76" ht="13.5" hidden="1" thickBot="1" x14ac:dyDescent="0.25">
      <c r="B154" s="61" t="s">
        <v>26</v>
      </c>
      <c r="C154" s="28" t="s">
        <v>114</v>
      </c>
      <c r="D154" s="27" t="s">
        <v>33</v>
      </c>
      <c r="E154" s="112">
        <f>996*1.05</f>
        <v>1045.8</v>
      </c>
      <c r="F154" s="110">
        <f>1096*1.05</f>
        <v>1150.8</v>
      </c>
      <c r="G154" s="110">
        <f>1196*1.05</f>
        <v>1255.8</v>
      </c>
      <c r="H154" s="110">
        <f>1246*1.05</f>
        <v>1308.3</v>
      </c>
      <c r="I154" s="110">
        <f>1321*1.05</f>
        <v>1387.05</v>
      </c>
      <c r="J154" s="110">
        <f>1371*1.05</f>
        <v>1439.55</v>
      </c>
      <c r="K154" s="110">
        <f>1471*1.05</f>
        <v>1544.55</v>
      </c>
      <c r="L154" s="111">
        <f>1596*1.05</f>
        <v>1675.8000000000002</v>
      </c>
      <c r="M154" s="110">
        <v>1781</v>
      </c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</row>
    <row r="155" spans="2:76" hidden="1" x14ac:dyDescent="0.2">
      <c r="B155" s="81"/>
      <c r="C155" s="28"/>
      <c r="D155" s="82"/>
      <c r="E155" s="113"/>
      <c r="F155" s="114"/>
      <c r="G155" s="114"/>
      <c r="H155" s="114"/>
      <c r="I155" s="114"/>
      <c r="J155" s="114"/>
      <c r="K155" s="114"/>
      <c r="L155" s="115"/>
      <c r="M155" s="114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</row>
    <row r="156" spans="2:76" hidden="1" x14ac:dyDescent="0.2">
      <c r="B156" s="46"/>
      <c r="C156" s="60"/>
      <c r="D156" s="44"/>
      <c r="E156" s="113"/>
      <c r="F156" s="114"/>
      <c r="G156" s="114"/>
      <c r="H156" s="114"/>
      <c r="I156" s="114"/>
      <c r="J156" s="114"/>
      <c r="K156" s="114"/>
      <c r="L156" s="115"/>
      <c r="M156" s="114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</row>
    <row r="157" spans="2:76" ht="13.5" hidden="1" thickBot="1" x14ac:dyDescent="0.25">
      <c r="B157" s="50"/>
      <c r="C157" s="62"/>
      <c r="D157" s="49"/>
      <c r="E157" s="128">
        <v>1</v>
      </c>
      <c r="F157" s="129">
        <v>2</v>
      </c>
      <c r="G157" s="129">
        <v>3</v>
      </c>
      <c r="H157" s="129">
        <v>4</v>
      </c>
      <c r="I157" s="129">
        <v>5</v>
      </c>
      <c r="J157" s="129">
        <v>6</v>
      </c>
      <c r="K157" s="129">
        <v>7</v>
      </c>
      <c r="L157" s="130">
        <v>8</v>
      </c>
      <c r="M157" s="131">
        <v>9</v>
      </c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</row>
    <row r="158" spans="2:76" x14ac:dyDescent="0.2"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</row>
    <row r="159" spans="2:76" x14ac:dyDescent="0.2"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</row>
    <row r="160" spans="2:76" x14ac:dyDescent="0.2"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</row>
    <row r="161" spans="14:76" x14ac:dyDescent="0.2"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</row>
    <row r="162" spans="14:76" x14ac:dyDescent="0.2"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</row>
    <row r="163" spans="14:76" x14ac:dyDescent="0.2"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</row>
    <row r="164" spans="14:76" x14ac:dyDescent="0.2"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</row>
    <row r="165" spans="14:76" x14ac:dyDescent="0.2"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</row>
    <row r="166" spans="14:76" x14ac:dyDescent="0.2"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</row>
    <row r="167" spans="14:76" x14ac:dyDescent="0.2"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</row>
    <row r="168" spans="14:76" x14ac:dyDescent="0.2"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</row>
    <row r="169" spans="14:76" x14ac:dyDescent="0.2"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</row>
    <row r="170" spans="14:76" x14ac:dyDescent="0.2"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</row>
    <row r="171" spans="14:76" x14ac:dyDescent="0.2"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</row>
    <row r="172" spans="14:76" x14ac:dyDescent="0.2"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</row>
    <row r="173" spans="14:76" x14ac:dyDescent="0.2"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</row>
    <row r="174" spans="14:76" x14ac:dyDescent="0.2"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</row>
    <row r="175" spans="14:76" x14ac:dyDescent="0.2"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</row>
    <row r="176" spans="14:76" x14ac:dyDescent="0.2"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</row>
    <row r="177" spans="14:76" x14ac:dyDescent="0.2"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</row>
    <row r="178" spans="14:76" x14ac:dyDescent="0.2"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</row>
    <row r="179" spans="14:76" x14ac:dyDescent="0.2"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</row>
    <row r="180" spans="14:76" x14ac:dyDescent="0.2"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</row>
    <row r="181" spans="14:76" x14ac:dyDescent="0.2"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</row>
    <row r="182" spans="14:76" x14ac:dyDescent="0.2"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</row>
    <row r="183" spans="14:76" x14ac:dyDescent="0.2"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</row>
    <row r="184" spans="14:76" x14ac:dyDescent="0.2"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</row>
    <row r="185" spans="14:76" x14ac:dyDescent="0.2"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</row>
    <row r="186" spans="14:76" x14ac:dyDescent="0.2"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</row>
    <row r="187" spans="14:76" x14ac:dyDescent="0.2"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</row>
    <row r="188" spans="14:76" x14ac:dyDescent="0.2"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</row>
    <row r="189" spans="14:76" x14ac:dyDescent="0.2"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</row>
    <row r="190" spans="14:76" x14ac:dyDescent="0.2"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</row>
    <row r="191" spans="14:76" x14ac:dyDescent="0.2"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</row>
    <row r="192" spans="14:76" x14ac:dyDescent="0.2"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</row>
    <row r="193" spans="14:76" x14ac:dyDescent="0.2"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</row>
    <row r="194" spans="14:76" x14ac:dyDescent="0.2"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</row>
    <row r="195" spans="14:76" x14ac:dyDescent="0.2"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</row>
    <row r="196" spans="14:76" x14ac:dyDescent="0.2"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</row>
    <row r="197" spans="14:76" x14ac:dyDescent="0.2"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</row>
    <row r="198" spans="14:76" x14ac:dyDescent="0.2"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</row>
    <row r="199" spans="14:76" x14ac:dyDescent="0.2"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</row>
    <row r="200" spans="14:76" x14ac:dyDescent="0.2"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</row>
    <row r="201" spans="14:76" x14ac:dyDescent="0.2"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</row>
    <row r="202" spans="14:76" x14ac:dyDescent="0.2"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</row>
    <row r="203" spans="14:76" x14ac:dyDescent="0.2"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</row>
    <row r="204" spans="14:76" x14ac:dyDescent="0.2"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</row>
    <row r="205" spans="14:76" x14ac:dyDescent="0.2"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</row>
    <row r="206" spans="14:76" x14ac:dyDescent="0.2"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</row>
    <row r="207" spans="14:76" x14ac:dyDescent="0.2"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</row>
    <row r="208" spans="14:76" x14ac:dyDescent="0.2"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</row>
    <row r="209" spans="14:76" x14ac:dyDescent="0.2"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</row>
    <row r="210" spans="14:76" x14ac:dyDescent="0.2"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</row>
    <row r="211" spans="14:76" x14ac:dyDescent="0.2"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</row>
    <row r="212" spans="14:76" x14ac:dyDescent="0.2"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</row>
    <row r="213" spans="14:76" x14ac:dyDescent="0.2"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</row>
    <row r="214" spans="14:76" x14ac:dyDescent="0.2"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</row>
    <row r="215" spans="14:76" x14ac:dyDescent="0.2"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</row>
    <row r="216" spans="14:76" x14ac:dyDescent="0.2"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</row>
    <row r="217" spans="14:76" x14ac:dyDescent="0.2"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</row>
    <row r="218" spans="14:76" x14ac:dyDescent="0.2"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</row>
    <row r="219" spans="14:76" x14ac:dyDescent="0.2"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</row>
    <row r="220" spans="14:76" x14ac:dyDescent="0.2"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</row>
    <row r="221" spans="14:76" x14ac:dyDescent="0.2"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</row>
    <row r="222" spans="14:76" x14ac:dyDescent="0.2"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</row>
    <row r="223" spans="14:76" x14ac:dyDescent="0.2"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</row>
    <row r="224" spans="14:76" x14ac:dyDescent="0.2"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</row>
    <row r="225" spans="14:76" x14ac:dyDescent="0.2"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</row>
    <row r="226" spans="14:76" x14ac:dyDescent="0.2"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</row>
    <row r="227" spans="14:76" x14ac:dyDescent="0.2"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</row>
    <row r="228" spans="14:76" x14ac:dyDescent="0.2"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</row>
    <row r="229" spans="14:76" x14ac:dyDescent="0.2"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</row>
    <row r="230" spans="14:76" x14ac:dyDescent="0.2"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</row>
    <row r="231" spans="14:76" x14ac:dyDescent="0.2"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</row>
    <row r="232" spans="14:76" x14ac:dyDescent="0.2"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</row>
    <row r="233" spans="14:76" x14ac:dyDescent="0.2"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</row>
    <row r="234" spans="14:76" x14ac:dyDescent="0.2"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</row>
    <row r="235" spans="14:76" x14ac:dyDescent="0.2"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</row>
    <row r="236" spans="14:76" x14ac:dyDescent="0.2"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</row>
    <row r="237" spans="14:76" x14ac:dyDescent="0.2"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</row>
    <row r="238" spans="14:76" x14ac:dyDescent="0.2"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</row>
    <row r="239" spans="14:76" x14ac:dyDescent="0.2"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</row>
    <row r="240" spans="14:76" x14ac:dyDescent="0.2"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</row>
    <row r="241" spans="14:76" x14ac:dyDescent="0.2"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</row>
    <row r="242" spans="14:76" x14ac:dyDescent="0.2"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</row>
    <row r="243" spans="14:76" x14ac:dyDescent="0.2"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</row>
    <row r="244" spans="14:76" x14ac:dyDescent="0.2"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</row>
    <row r="245" spans="14:76" x14ac:dyDescent="0.2"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</row>
    <row r="246" spans="14:76" x14ac:dyDescent="0.2"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</row>
    <row r="247" spans="14:76" x14ac:dyDescent="0.2"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</row>
    <row r="248" spans="14:76" x14ac:dyDescent="0.2"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</row>
    <row r="249" spans="14:76" x14ac:dyDescent="0.2"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</row>
    <row r="250" spans="14:76" x14ac:dyDescent="0.2"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</row>
    <row r="251" spans="14:76" x14ac:dyDescent="0.2"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</row>
    <row r="252" spans="14:76" x14ac:dyDescent="0.2"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</row>
    <row r="253" spans="14:76" x14ac:dyDescent="0.2"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</row>
    <row r="254" spans="14:76" x14ac:dyDescent="0.2"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</row>
    <row r="255" spans="14:76" x14ac:dyDescent="0.2"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</row>
    <row r="256" spans="14:76" x14ac:dyDescent="0.2"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</row>
    <row r="257" spans="14:76" x14ac:dyDescent="0.2"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</row>
    <row r="258" spans="14:76" x14ac:dyDescent="0.2"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</row>
    <row r="259" spans="14:76" x14ac:dyDescent="0.2"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</row>
    <row r="260" spans="14:76" x14ac:dyDescent="0.2"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</row>
    <row r="261" spans="14:76" x14ac:dyDescent="0.2"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</row>
    <row r="262" spans="14:76" x14ac:dyDescent="0.2"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</row>
    <row r="263" spans="14:76" x14ac:dyDescent="0.2"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</row>
    <row r="264" spans="14:76" x14ac:dyDescent="0.2"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</row>
    <row r="265" spans="14:76" x14ac:dyDescent="0.2"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</row>
    <row r="266" spans="14:76" x14ac:dyDescent="0.2"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</row>
    <row r="267" spans="14:76" x14ac:dyDescent="0.2"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</row>
    <row r="268" spans="14:76" x14ac:dyDescent="0.2"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</row>
    <row r="269" spans="14:76" x14ac:dyDescent="0.2"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</row>
    <row r="270" spans="14:76" x14ac:dyDescent="0.2"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</row>
    <row r="271" spans="14:76" x14ac:dyDescent="0.2"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</row>
    <row r="272" spans="14:76" x14ac:dyDescent="0.2"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</row>
    <row r="273" spans="14:76" x14ac:dyDescent="0.2"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</row>
    <row r="274" spans="14:76" x14ac:dyDescent="0.2"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</row>
    <row r="275" spans="14:76" x14ac:dyDescent="0.2"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</row>
    <row r="276" spans="14:76" x14ac:dyDescent="0.2"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</row>
    <row r="277" spans="14:76" x14ac:dyDescent="0.2"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</row>
    <row r="278" spans="14:76" x14ac:dyDescent="0.2"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</row>
    <row r="279" spans="14:76" x14ac:dyDescent="0.2"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</row>
    <row r="280" spans="14:76" x14ac:dyDescent="0.2"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</row>
    <row r="281" spans="14:76" x14ac:dyDescent="0.2"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</row>
    <row r="282" spans="14:76" x14ac:dyDescent="0.2"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</row>
    <row r="283" spans="14:76" x14ac:dyDescent="0.2"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</row>
    <row r="284" spans="14:76" x14ac:dyDescent="0.2"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</row>
    <row r="285" spans="14:76" x14ac:dyDescent="0.2"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</row>
    <row r="286" spans="14:76" x14ac:dyDescent="0.2"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</row>
    <row r="287" spans="14:76" x14ac:dyDescent="0.2"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</row>
    <row r="288" spans="14:76" x14ac:dyDescent="0.2"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</row>
    <row r="289" spans="14:76" x14ac:dyDescent="0.2"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</row>
    <row r="290" spans="14:76" x14ac:dyDescent="0.2"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</row>
    <row r="291" spans="14:76" x14ac:dyDescent="0.2"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</row>
    <row r="292" spans="14:76" x14ac:dyDescent="0.2"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</row>
    <row r="293" spans="14:76" x14ac:dyDescent="0.2"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</row>
    <row r="294" spans="14:76" x14ac:dyDescent="0.2"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</row>
    <row r="295" spans="14:76" x14ac:dyDescent="0.2"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</row>
    <row r="296" spans="14:76" x14ac:dyDescent="0.2"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</row>
    <row r="297" spans="14:76" x14ac:dyDescent="0.2"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</row>
    <row r="298" spans="14:76" x14ac:dyDescent="0.2"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</row>
    <row r="299" spans="14:76" x14ac:dyDescent="0.2"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</row>
    <row r="300" spans="14:76" x14ac:dyDescent="0.2"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</row>
    <row r="301" spans="14:76" x14ac:dyDescent="0.2"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</row>
    <row r="302" spans="14:76" x14ac:dyDescent="0.2"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</row>
    <row r="303" spans="14:76" x14ac:dyDescent="0.2"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</row>
    <row r="304" spans="14:76" x14ac:dyDescent="0.2"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</row>
    <row r="305" spans="14:76" x14ac:dyDescent="0.2"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</row>
    <row r="306" spans="14:76" x14ac:dyDescent="0.2"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</row>
    <row r="307" spans="14:76" x14ac:dyDescent="0.2"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</row>
    <row r="308" spans="14:76" x14ac:dyDescent="0.2"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</row>
    <row r="309" spans="14:76" x14ac:dyDescent="0.2"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</row>
    <row r="310" spans="14:76" x14ac:dyDescent="0.2"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</row>
    <row r="311" spans="14:76" x14ac:dyDescent="0.2"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</row>
    <row r="312" spans="14:76" x14ac:dyDescent="0.2"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</row>
    <row r="313" spans="14:76" x14ac:dyDescent="0.2"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</row>
    <row r="314" spans="14:76" x14ac:dyDescent="0.2"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</row>
    <row r="315" spans="14:76" x14ac:dyDescent="0.2"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</row>
    <row r="316" spans="14:76" x14ac:dyDescent="0.2"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</row>
    <row r="317" spans="14:76" x14ac:dyDescent="0.2"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</row>
    <row r="318" spans="14:76" x14ac:dyDescent="0.2"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</row>
    <row r="319" spans="14:76" x14ac:dyDescent="0.2"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</row>
    <row r="320" spans="14:76" x14ac:dyDescent="0.2"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</row>
    <row r="321" spans="14:76" x14ac:dyDescent="0.2"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</row>
    <row r="322" spans="14:76" x14ac:dyDescent="0.2"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</row>
    <row r="323" spans="14:76" x14ac:dyDescent="0.2"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</row>
    <row r="324" spans="14:76" x14ac:dyDescent="0.2"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</row>
    <row r="325" spans="14:76" x14ac:dyDescent="0.2"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</row>
    <row r="326" spans="14:76" x14ac:dyDescent="0.2"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</row>
    <row r="327" spans="14:76" x14ac:dyDescent="0.2"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</row>
    <row r="328" spans="14:76" x14ac:dyDescent="0.2"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</row>
    <row r="329" spans="14:76" x14ac:dyDescent="0.2"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</row>
    <row r="330" spans="14:76" x14ac:dyDescent="0.2"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</row>
    <row r="331" spans="14:76" x14ac:dyDescent="0.2"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</row>
    <row r="332" spans="14:76" x14ac:dyDescent="0.2"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</row>
    <row r="333" spans="14:76" x14ac:dyDescent="0.2"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</row>
    <row r="334" spans="14:76" x14ac:dyDescent="0.2"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</row>
    <row r="335" spans="14:76" x14ac:dyDescent="0.2"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</row>
    <row r="336" spans="14:76" x14ac:dyDescent="0.2"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</row>
    <row r="337" spans="14:76" x14ac:dyDescent="0.2"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</row>
    <row r="338" spans="14:76" x14ac:dyDescent="0.2"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</row>
    <row r="339" spans="14:76" x14ac:dyDescent="0.2"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</row>
    <row r="340" spans="14:76" x14ac:dyDescent="0.2"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</row>
    <row r="341" spans="14:76" x14ac:dyDescent="0.2"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</row>
    <row r="342" spans="14:76" x14ac:dyDescent="0.2"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</row>
    <row r="343" spans="14:76" x14ac:dyDescent="0.2"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</row>
    <row r="344" spans="14:76" x14ac:dyDescent="0.2"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</row>
    <row r="345" spans="14:76" x14ac:dyDescent="0.2"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</row>
    <row r="346" spans="14:76" x14ac:dyDescent="0.2"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</row>
    <row r="347" spans="14:76" x14ac:dyDescent="0.2"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</row>
    <row r="348" spans="14:76" x14ac:dyDescent="0.2"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</row>
    <row r="349" spans="14:76" x14ac:dyDescent="0.2"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</row>
    <row r="350" spans="14:76" x14ac:dyDescent="0.2"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</row>
    <row r="351" spans="14:76" x14ac:dyDescent="0.2"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</row>
    <row r="352" spans="14:76" x14ac:dyDescent="0.2"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</row>
    <row r="353" spans="14:76" x14ac:dyDescent="0.2"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</row>
    <row r="354" spans="14:76" x14ac:dyDescent="0.2"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</row>
    <row r="355" spans="14:76" x14ac:dyDescent="0.2"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</row>
    <row r="356" spans="14:76" x14ac:dyDescent="0.2"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</row>
    <row r="357" spans="14:76" x14ac:dyDescent="0.2"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</row>
    <row r="358" spans="14:76" x14ac:dyDescent="0.2"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</row>
    <row r="359" spans="14:76" x14ac:dyDescent="0.2"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</row>
    <row r="360" spans="14:76" x14ac:dyDescent="0.2"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</row>
    <row r="361" spans="14:76" x14ac:dyDescent="0.2"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</row>
    <row r="362" spans="14:76" x14ac:dyDescent="0.2"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</row>
    <row r="363" spans="14:76" x14ac:dyDescent="0.2"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</row>
    <row r="364" spans="14:76" x14ac:dyDescent="0.2"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</row>
    <row r="365" spans="14:76" x14ac:dyDescent="0.2"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</row>
    <row r="366" spans="14:76" x14ac:dyDescent="0.2"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</row>
    <row r="367" spans="14:76" x14ac:dyDescent="0.2"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</row>
    <row r="368" spans="14:76" x14ac:dyDescent="0.2"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</row>
    <row r="369" spans="14:76" x14ac:dyDescent="0.2"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</row>
    <row r="370" spans="14:76" x14ac:dyDescent="0.2"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</row>
    <row r="371" spans="14:76" x14ac:dyDescent="0.2"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</row>
    <row r="372" spans="14:76" x14ac:dyDescent="0.2"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</row>
    <row r="373" spans="14:76" x14ac:dyDescent="0.2"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</row>
    <row r="374" spans="14:76" x14ac:dyDescent="0.2"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</row>
    <row r="375" spans="14:76" x14ac:dyDescent="0.2"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</row>
    <row r="376" spans="14:76" x14ac:dyDescent="0.2"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</row>
    <row r="377" spans="14:76" x14ac:dyDescent="0.2"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</row>
    <row r="378" spans="14:76" x14ac:dyDescent="0.2"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</row>
    <row r="379" spans="14:76" x14ac:dyDescent="0.2"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</row>
    <row r="380" spans="14:76" x14ac:dyDescent="0.2"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</row>
    <row r="381" spans="14:76" x14ac:dyDescent="0.2"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</row>
    <row r="382" spans="14:76" x14ac:dyDescent="0.2"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</row>
    <row r="383" spans="14:76" x14ac:dyDescent="0.2"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</row>
    <row r="384" spans="14:76" x14ac:dyDescent="0.2"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</row>
    <row r="385" spans="14:76" x14ac:dyDescent="0.2"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</row>
    <row r="386" spans="14:76" x14ac:dyDescent="0.2"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</row>
    <row r="387" spans="14:76" x14ac:dyDescent="0.2"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</row>
    <row r="388" spans="14:76" x14ac:dyDescent="0.2"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</row>
    <row r="389" spans="14:76" x14ac:dyDescent="0.2"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</row>
    <row r="390" spans="14:76" x14ac:dyDescent="0.2"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</row>
    <row r="391" spans="14:76" x14ac:dyDescent="0.2"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</row>
    <row r="392" spans="14:76" x14ac:dyDescent="0.2"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</row>
    <row r="393" spans="14:76" x14ac:dyDescent="0.2"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</row>
    <row r="394" spans="14:76" x14ac:dyDescent="0.2"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</row>
    <row r="395" spans="14:76" x14ac:dyDescent="0.2"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</row>
    <row r="396" spans="14:76" x14ac:dyDescent="0.2"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</row>
    <row r="397" spans="14:76" x14ac:dyDescent="0.2"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</row>
    <row r="398" spans="14:76" x14ac:dyDescent="0.2"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</row>
    <row r="399" spans="14:76" x14ac:dyDescent="0.2"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</row>
    <row r="400" spans="14:76" x14ac:dyDescent="0.2"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</row>
    <row r="401" spans="14:76" x14ac:dyDescent="0.2"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</row>
    <row r="402" spans="14:76" x14ac:dyDescent="0.2"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</row>
    <row r="403" spans="14:76" x14ac:dyDescent="0.2"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</row>
    <row r="404" spans="14:76" x14ac:dyDescent="0.2"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</row>
    <row r="405" spans="14:76" x14ac:dyDescent="0.2"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</row>
    <row r="406" spans="14:76" x14ac:dyDescent="0.2"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</row>
    <row r="407" spans="14:76" x14ac:dyDescent="0.2"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</row>
    <row r="408" spans="14:76" x14ac:dyDescent="0.2"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</row>
    <row r="409" spans="14:76" x14ac:dyDescent="0.2"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</row>
    <row r="410" spans="14:76" x14ac:dyDescent="0.2"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</row>
    <row r="411" spans="14:76" x14ac:dyDescent="0.2"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</row>
    <row r="412" spans="14:76" x14ac:dyDescent="0.2"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</row>
    <row r="413" spans="14:76" x14ac:dyDescent="0.2"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</row>
    <row r="414" spans="14:76" x14ac:dyDescent="0.2"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</row>
    <row r="415" spans="14:76" x14ac:dyDescent="0.2"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</row>
    <row r="416" spans="14:76" x14ac:dyDescent="0.2"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</row>
    <row r="417" spans="14:76" x14ac:dyDescent="0.2"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</row>
    <row r="418" spans="14:76" x14ac:dyDescent="0.2"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</row>
    <row r="419" spans="14:76" x14ac:dyDescent="0.2"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</row>
    <row r="420" spans="14:76" x14ac:dyDescent="0.2"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</row>
    <row r="421" spans="14:76" x14ac:dyDescent="0.2"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</row>
    <row r="422" spans="14:76" x14ac:dyDescent="0.2"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</row>
    <row r="423" spans="14:76" x14ac:dyDescent="0.2"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</row>
    <row r="424" spans="14:76" x14ac:dyDescent="0.2"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</row>
    <row r="425" spans="14:76" x14ac:dyDescent="0.2"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</row>
    <row r="426" spans="14:76" x14ac:dyDescent="0.2"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</row>
    <row r="427" spans="14:76" x14ac:dyDescent="0.2"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</row>
    <row r="428" spans="14:76" x14ac:dyDescent="0.2"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</row>
    <row r="429" spans="14:76" x14ac:dyDescent="0.2"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</row>
    <row r="430" spans="14:76" x14ac:dyDescent="0.2"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</row>
    <row r="431" spans="14:76" x14ac:dyDescent="0.2"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</row>
    <row r="432" spans="14:76" x14ac:dyDescent="0.2"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</row>
    <row r="433" spans="14:76" x14ac:dyDescent="0.2"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</row>
    <row r="434" spans="14:76" x14ac:dyDescent="0.2"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</row>
    <row r="435" spans="14:76" x14ac:dyDescent="0.2"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</row>
    <row r="436" spans="14:76" x14ac:dyDescent="0.2"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</row>
    <row r="437" spans="14:76" x14ac:dyDescent="0.2"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</row>
    <row r="438" spans="14:76" x14ac:dyDescent="0.2"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</row>
    <row r="439" spans="14:76" x14ac:dyDescent="0.2"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</row>
    <row r="440" spans="14:76" x14ac:dyDescent="0.2"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</row>
    <row r="441" spans="14:76" x14ac:dyDescent="0.2"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</row>
    <row r="442" spans="14:76" x14ac:dyDescent="0.2"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</row>
    <row r="443" spans="14:76" x14ac:dyDescent="0.2"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</row>
    <row r="444" spans="14:76" x14ac:dyDescent="0.2"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</row>
    <row r="445" spans="14:76" x14ac:dyDescent="0.2"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</row>
    <row r="446" spans="14:76" x14ac:dyDescent="0.2"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</row>
    <row r="447" spans="14:76" x14ac:dyDescent="0.2"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</row>
    <row r="448" spans="14:76" x14ac:dyDescent="0.2"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</row>
    <row r="449" spans="14:76" x14ac:dyDescent="0.2"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</row>
    <row r="450" spans="14:76" x14ac:dyDescent="0.2"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</row>
    <row r="451" spans="14:76" x14ac:dyDescent="0.2"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</row>
    <row r="452" spans="14:76" x14ac:dyDescent="0.2"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</row>
    <row r="453" spans="14:76" x14ac:dyDescent="0.2"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</row>
    <row r="454" spans="14:76" x14ac:dyDescent="0.2"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</row>
    <row r="455" spans="14:76" x14ac:dyDescent="0.2"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</row>
    <row r="456" spans="14:76" x14ac:dyDescent="0.2"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</row>
    <row r="457" spans="14:76" x14ac:dyDescent="0.2"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</row>
    <row r="458" spans="14:76" x14ac:dyDescent="0.2"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</row>
    <row r="459" spans="14:76" x14ac:dyDescent="0.2"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</row>
    <row r="460" spans="14:76" x14ac:dyDescent="0.2"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</row>
    <row r="461" spans="14:76" x14ac:dyDescent="0.2"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</row>
    <row r="462" spans="14:76" x14ac:dyDescent="0.2"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</row>
    <row r="463" spans="14:76" x14ac:dyDescent="0.2"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</row>
    <row r="464" spans="14:76" x14ac:dyDescent="0.2"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</row>
    <row r="465" spans="14:76" x14ac:dyDescent="0.2"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</row>
    <row r="466" spans="14:76" x14ac:dyDescent="0.2"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</row>
    <row r="467" spans="14:76" x14ac:dyDescent="0.2"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</row>
    <row r="468" spans="14:76" x14ac:dyDescent="0.2"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</row>
    <row r="469" spans="14:76" x14ac:dyDescent="0.2"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</row>
    <row r="470" spans="14:76" x14ac:dyDescent="0.2"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</row>
    <row r="471" spans="14:76" x14ac:dyDescent="0.2"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</row>
    <row r="472" spans="14:76" x14ac:dyDescent="0.2"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</row>
    <row r="473" spans="14:76" x14ac:dyDescent="0.2"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</row>
    <row r="474" spans="14:76" x14ac:dyDescent="0.2"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</row>
    <row r="475" spans="14:76" x14ac:dyDescent="0.2"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</row>
    <row r="476" spans="14:76" x14ac:dyDescent="0.2"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</row>
    <row r="477" spans="14:76" x14ac:dyDescent="0.2"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</row>
    <row r="478" spans="14:76" x14ac:dyDescent="0.2"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</row>
    <row r="479" spans="14:76" x14ac:dyDescent="0.2"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</row>
    <row r="480" spans="14:76" x14ac:dyDescent="0.2"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</row>
    <row r="481" spans="14:76" x14ac:dyDescent="0.2"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</row>
    <row r="482" spans="14:76" x14ac:dyDescent="0.2"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</row>
    <row r="483" spans="14:76" x14ac:dyDescent="0.2"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</row>
    <row r="484" spans="14:76" x14ac:dyDescent="0.2"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</row>
    <row r="485" spans="14:76" x14ac:dyDescent="0.2"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</row>
    <row r="486" spans="14:76" x14ac:dyDescent="0.2"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</row>
    <row r="487" spans="14:76" x14ac:dyDescent="0.2"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</row>
    <row r="488" spans="14:76" x14ac:dyDescent="0.2"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</row>
    <row r="489" spans="14:76" x14ac:dyDescent="0.2"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</row>
    <row r="490" spans="14:76" x14ac:dyDescent="0.2"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</row>
    <row r="491" spans="14:76" x14ac:dyDescent="0.2"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</row>
    <row r="492" spans="14:76" x14ac:dyDescent="0.2"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</row>
    <row r="493" spans="14:76" x14ac:dyDescent="0.2"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</row>
    <row r="494" spans="14:76" x14ac:dyDescent="0.2"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</row>
    <row r="495" spans="14:76" x14ac:dyDescent="0.2"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</row>
    <row r="496" spans="14:76" x14ac:dyDescent="0.2"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</row>
    <row r="497" spans="14:76" x14ac:dyDescent="0.2"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</row>
    <row r="498" spans="14:76" x14ac:dyDescent="0.2"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</row>
    <row r="499" spans="14:76" x14ac:dyDescent="0.2"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</row>
    <row r="500" spans="14:76" x14ac:dyDescent="0.2"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</row>
    <row r="501" spans="14:76" x14ac:dyDescent="0.2"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</row>
    <row r="502" spans="14:76" x14ac:dyDescent="0.2"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</row>
    <row r="503" spans="14:76" x14ac:dyDescent="0.2"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</row>
    <row r="504" spans="14:76" x14ac:dyDescent="0.2"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</row>
    <row r="505" spans="14:76" x14ac:dyDescent="0.2"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</row>
    <row r="506" spans="14:76" x14ac:dyDescent="0.2"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</row>
    <row r="507" spans="14:76" x14ac:dyDescent="0.2"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</row>
    <row r="508" spans="14:76" x14ac:dyDescent="0.2"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</row>
    <row r="509" spans="14:76" x14ac:dyDescent="0.2"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</row>
    <row r="510" spans="14:76" x14ac:dyDescent="0.2"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</row>
    <row r="511" spans="14:76" x14ac:dyDescent="0.2"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</row>
    <row r="512" spans="14:76" x14ac:dyDescent="0.2"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</row>
    <row r="513" spans="14:76" x14ac:dyDescent="0.2"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</row>
    <row r="514" spans="14:76" x14ac:dyDescent="0.2"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</row>
    <row r="515" spans="14:76" x14ac:dyDescent="0.2"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</row>
    <row r="516" spans="14:76" x14ac:dyDescent="0.2"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</row>
    <row r="517" spans="14:76" x14ac:dyDescent="0.2"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</row>
    <row r="518" spans="14:76" x14ac:dyDescent="0.2"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</row>
    <row r="519" spans="14:76" x14ac:dyDescent="0.2"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</row>
    <row r="520" spans="14:76" x14ac:dyDescent="0.2"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</row>
    <row r="521" spans="14:76" x14ac:dyDescent="0.2"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</row>
    <row r="522" spans="14:76" x14ac:dyDescent="0.2"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</row>
    <row r="523" spans="14:76" x14ac:dyDescent="0.2"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</row>
    <row r="524" spans="14:76" x14ac:dyDescent="0.2"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</row>
    <row r="525" spans="14:76" x14ac:dyDescent="0.2"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</row>
    <row r="526" spans="14:76" x14ac:dyDescent="0.2"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</row>
    <row r="527" spans="14:76" x14ac:dyDescent="0.2"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</row>
    <row r="528" spans="14:76" x14ac:dyDescent="0.2"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</row>
    <row r="529" spans="14:76" x14ac:dyDescent="0.2"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</row>
    <row r="530" spans="14:76" x14ac:dyDescent="0.2"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</row>
    <row r="531" spans="14:76" x14ac:dyDescent="0.2"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</row>
    <row r="532" spans="14:76" x14ac:dyDescent="0.2"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</row>
    <row r="533" spans="14:76" x14ac:dyDescent="0.2"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</row>
    <row r="534" spans="14:76" x14ac:dyDescent="0.2"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</row>
    <row r="535" spans="14:76" x14ac:dyDescent="0.2"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</row>
    <row r="536" spans="14:76" x14ac:dyDescent="0.2"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</row>
    <row r="537" spans="14:76" x14ac:dyDescent="0.2"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</row>
    <row r="538" spans="14:76" x14ac:dyDescent="0.2"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</row>
    <row r="539" spans="14:76" x14ac:dyDescent="0.2"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</row>
    <row r="540" spans="14:76" x14ac:dyDescent="0.2"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</row>
    <row r="541" spans="14:76" x14ac:dyDescent="0.2"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</row>
    <row r="542" spans="14:76" x14ac:dyDescent="0.2"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</row>
    <row r="543" spans="14:76" x14ac:dyDescent="0.2"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</row>
    <row r="544" spans="14:76" x14ac:dyDescent="0.2"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</row>
    <row r="545" spans="14:76" x14ac:dyDescent="0.2"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</row>
    <row r="546" spans="14:76" x14ac:dyDescent="0.2"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</row>
    <row r="547" spans="14:76" x14ac:dyDescent="0.2"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</row>
    <row r="548" spans="14:76" x14ac:dyDescent="0.2"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</row>
    <row r="549" spans="14:76" x14ac:dyDescent="0.2"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</row>
    <row r="550" spans="14:76" x14ac:dyDescent="0.2"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</row>
    <row r="551" spans="14:76" x14ac:dyDescent="0.2"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</row>
    <row r="552" spans="14:76" x14ac:dyDescent="0.2"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</row>
    <row r="553" spans="14:76" x14ac:dyDescent="0.2"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</row>
    <row r="554" spans="14:76" x14ac:dyDescent="0.2"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</row>
    <row r="555" spans="14:76" x14ac:dyDescent="0.2"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</row>
    <row r="556" spans="14:76" x14ac:dyDescent="0.2"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</row>
    <row r="557" spans="14:76" x14ac:dyDescent="0.2"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</row>
    <row r="558" spans="14:76" x14ac:dyDescent="0.2"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</row>
    <row r="559" spans="14:76" x14ac:dyDescent="0.2"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</row>
    <row r="560" spans="14:76" x14ac:dyDescent="0.2"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</row>
    <row r="561" spans="14:76" x14ac:dyDescent="0.2"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</row>
    <row r="562" spans="14:76" x14ac:dyDescent="0.2"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</row>
    <row r="563" spans="14:76" x14ac:dyDescent="0.2"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</row>
    <row r="564" spans="14:76" x14ac:dyDescent="0.2"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</row>
    <row r="565" spans="14:76" x14ac:dyDescent="0.2"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</row>
    <row r="566" spans="14:76" x14ac:dyDescent="0.2"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</row>
    <row r="567" spans="14:76" x14ac:dyDescent="0.2"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</row>
    <row r="568" spans="14:76" x14ac:dyDescent="0.2"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</row>
    <row r="569" spans="14:76" x14ac:dyDescent="0.2"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</row>
    <row r="570" spans="14:76" x14ac:dyDescent="0.2"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</row>
    <row r="571" spans="14:76" x14ac:dyDescent="0.2"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</row>
    <row r="572" spans="14:76" x14ac:dyDescent="0.2"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</row>
    <row r="573" spans="14:76" x14ac:dyDescent="0.2"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</row>
    <row r="574" spans="14:76" x14ac:dyDescent="0.2"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</row>
    <row r="575" spans="14:76" x14ac:dyDescent="0.2"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</row>
    <row r="576" spans="14:76" x14ac:dyDescent="0.2"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</row>
    <row r="577" spans="14:76" x14ac:dyDescent="0.2"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</row>
    <row r="578" spans="14:76" x14ac:dyDescent="0.2"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</row>
    <row r="579" spans="14:76" x14ac:dyDescent="0.2"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</row>
    <row r="580" spans="14:76" x14ac:dyDescent="0.2"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</row>
    <row r="581" spans="14:76" x14ac:dyDescent="0.2"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</row>
    <row r="582" spans="14:76" x14ac:dyDescent="0.2"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</row>
    <row r="583" spans="14:76" x14ac:dyDescent="0.2"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</row>
    <row r="584" spans="14:76" x14ac:dyDescent="0.2"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</row>
    <row r="585" spans="14:76" x14ac:dyDescent="0.2"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</row>
    <row r="586" spans="14:76" x14ac:dyDescent="0.2"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</row>
    <row r="587" spans="14:76" x14ac:dyDescent="0.2"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</row>
    <row r="588" spans="14:76" x14ac:dyDescent="0.2"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</row>
    <row r="589" spans="14:76" x14ac:dyDescent="0.2"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</row>
    <row r="590" spans="14:76" x14ac:dyDescent="0.2"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</row>
    <row r="591" spans="14:76" x14ac:dyDescent="0.2"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</row>
    <row r="592" spans="14:76" x14ac:dyDescent="0.2"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</row>
    <row r="593" spans="14:76" x14ac:dyDescent="0.2"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</row>
    <row r="594" spans="14:76" x14ac:dyDescent="0.2"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</row>
    <row r="595" spans="14:76" x14ac:dyDescent="0.2"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</row>
    <row r="596" spans="14:76" x14ac:dyDescent="0.2"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</row>
    <row r="597" spans="14:76" x14ac:dyDescent="0.2"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</row>
    <row r="598" spans="14:76" x14ac:dyDescent="0.2"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</row>
    <row r="599" spans="14:76" x14ac:dyDescent="0.2"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</row>
    <row r="600" spans="14:76" x14ac:dyDescent="0.2"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</row>
    <row r="601" spans="14:76" x14ac:dyDescent="0.2"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</row>
    <row r="602" spans="14:76" x14ac:dyDescent="0.2"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</row>
    <row r="603" spans="14:76" x14ac:dyDescent="0.2"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</row>
    <row r="604" spans="14:76" x14ac:dyDescent="0.2"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</row>
    <row r="605" spans="14:76" x14ac:dyDescent="0.2"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</row>
    <row r="606" spans="14:76" x14ac:dyDescent="0.2"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</row>
    <row r="607" spans="14:76" x14ac:dyDescent="0.2"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</row>
    <row r="608" spans="14:76" x14ac:dyDescent="0.2"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</row>
    <row r="609" spans="14:76" x14ac:dyDescent="0.2"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</row>
    <row r="610" spans="14:76" x14ac:dyDescent="0.2"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</row>
    <row r="611" spans="14:76" x14ac:dyDescent="0.2"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</row>
    <row r="612" spans="14:76" x14ac:dyDescent="0.2"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</row>
    <row r="613" spans="14:76" x14ac:dyDescent="0.2"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</row>
    <row r="614" spans="14:76" x14ac:dyDescent="0.2"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</row>
    <row r="615" spans="14:76" x14ac:dyDescent="0.2"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</row>
    <row r="616" spans="14:76" x14ac:dyDescent="0.2"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</row>
    <row r="617" spans="14:76" x14ac:dyDescent="0.2"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</row>
    <row r="618" spans="14:76" x14ac:dyDescent="0.2"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</row>
    <row r="619" spans="14:76" x14ac:dyDescent="0.2"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</row>
    <row r="620" spans="14:76" x14ac:dyDescent="0.2"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</row>
    <row r="621" spans="14:76" x14ac:dyDescent="0.2"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</row>
    <row r="622" spans="14:76" x14ac:dyDescent="0.2"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</row>
    <row r="623" spans="14:76" x14ac:dyDescent="0.2"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</row>
    <row r="624" spans="14:76" x14ac:dyDescent="0.2"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</row>
    <row r="625" spans="14:76" x14ac:dyDescent="0.2"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</row>
    <row r="626" spans="14:76" x14ac:dyDescent="0.2"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</row>
    <row r="627" spans="14:76" x14ac:dyDescent="0.2"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</row>
    <row r="628" spans="14:76" x14ac:dyDescent="0.2"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</row>
    <row r="629" spans="14:76" x14ac:dyDescent="0.2"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</row>
    <row r="630" spans="14:76" x14ac:dyDescent="0.2"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</row>
    <row r="631" spans="14:76" x14ac:dyDescent="0.2"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</row>
    <row r="632" spans="14:76" x14ac:dyDescent="0.2"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</row>
    <row r="633" spans="14:76" x14ac:dyDescent="0.2"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</row>
    <row r="634" spans="14:76" x14ac:dyDescent="0.2"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</row>
    <row r="635" spans="14:76" x14ac:dyDescent="0.2"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</row>
    <row r="636" spans="14:76" x14ac:dyDescent="0.2"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</row>
    <row r="637" spans="14:76" x14ac:dyDescent="0.2"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</row>
    <row r="638" spans="14:76" x14ac:dyDescent="0.2"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</row>
    <row r="639" spans="14:76" x14ac:dyDescent="0.2"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</row>
    <row r="640" spans="14:76" x14ac:dyDescent="0.2"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</row>
    <row r="641" spans="14:76" x14ac:dyDescent="0.2"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</row>
    <row r="642" spans="14:76" x14ac:dyDescent="0.2"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</row>
    <row r="643" spans="14:76" x14ac:dyDescent="0.2"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</row>
    <row r="644" spans="14:76" x14ac:dyDescent="0.2"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</row>
    <row r="645" spans="14:76" x14ac:dyDescent="0.2"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</row>
    <row r="646" spans="14:76" x14ac:dyDescent="0.2"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</row>
    <row r="647" spans="14:76" x14ac:dyDescent="0.2"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</row>
    <row r="648" spans="14:76" x14ac:dyDescent="0.2"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</row>
    <row r="649" spans="14:76" x14ac:dyDescent="0.2"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</row>
    <row r="650" spans="14:76" x14ac:dyDescent="0.2"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</row>
    <row r="651" spans="14:76" x14ac:dyDescent="0.2"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</row>
    <row r="652" spans="14:76" x14ac:dyDescent="0.2"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</row>
    <row r="653" spans="14:76" x14ac:dyDescent="0.2"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</row>
    <row r="654" spans="14:76" x14ac:dyDescent="0.2"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</row>
    <row r="655" spans="14:76" x14ac:dyDescent="0.2"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</row>
    <row r="656" spans="14:76" x14ac:dyDescent="0.2"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</row>
    <row r="657" spans="14:76" x14ac:dyDescent="0.2"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</row>
    <row r="658" spans="14:76" x14ac:dyDescent="0.2"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</row>
    <row r="659" spans="14:76" x14ac:dyDescent="0.2"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</row>
    <row r="660" spans="14:76" x14ac:dyDescent="0.2"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</row>
    <row r="661" spans="14:76" x14ac:dyDescent="0.2"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</row>
    <row r="662" spans="14:76" x14ac:dyDescent="0.2"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</row>
    <row r="663" spans="14:76" x14ac:dyDescent="0.2"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</row>
    <row r="664" spans="14:76" x14ac:dyDescent="0.2"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</row>
    <row r="665" spans="14:76" x14ac:dyDescent="0.2"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</row>
    <row r="666" spans="14:76" x14ac:dyDescent="0.2"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</row>
    <row r="667" spans="14:76" x14ac:dyDescent="0.2"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</row>
    <row r="668" spans="14:76" x14ac:dyDescent="0.2"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</row>
    <row r="669" spans="14:76" x14ac:dyDescent="0.2"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</row>
    <row r="670" spans="14:76" x14ac:dyDescent="0.2"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</row>
    <row r="671" spans="14:76" x14ac:dyDescent="0.2"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</row>
    <row r="672" spans="14:76" x14ac:dyDescent="0.2"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</row>
    <row r="673" spans="14:76" x14ac:dyDescent="0.2"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</row>
    <row r="674" spans="14:76" x14ac:dyDescent="0.2"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</row>
    <row r="675" spans="14:76" x14ac:dyDescent="0.2"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</row>
    <row r="676" spans="14:76" x14ac:dyDescent="0.2"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</row>
    <row r="677" spans="14:76" x14ac:dyDescent="0.2"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</row>
    <row r="678" spans="14:76" x14ac:dyDescent="0.2"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</row>
    <row r="679" spans="14:76" x14ac:dyDescent="0.2"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</row>
    <row r="680" spans="14:76" x14ac:dyDescent="0.2"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</row>
    <row r="681" spans="14:76" x14ac:dyDescent="0.2"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</row>
    <row r="682" spans="14:76" x14ac:dyDescent="0.2"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</row>
    <row r="683" spans="14:76" x14ac:dyDescent="0.2"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</row>
    <row r="684" spans="14:76" x14ac:dyDescent="0.2"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</row>
    <row r="685" spans="14:76" x14ac:dyDescent="0.2"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</row>
    <row r="686" spans="14:76" x14ac:dyDescent="0.2"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</row>
    <row r="687" spans="14:76" x14ac:dyDescent="0.2"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</row>
    <row r="688" spans="14:76" x14ac:dyDescent="0.2"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</row>
    <row r="689" spans="14:76" x14ac:dyDescent="0.2"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</row>
    <row r="690" spans="14:76" x14ac:dyDescent="0.2"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</row>
    <row r="691" spans="14:76" x14ac:dyDescent="0.2"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</row>
    <row r="692" spans="14:76" x14ac:dyDescent="0.2"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</row>
    <row r="693" spans="14:76" x14ac:dyDescent="0.2"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</row>
    <row r="694" spans="14:76" x14ac:dyDescent="0.2"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</row>
    <row r="695" spans="14:76" x14ac:dyDescent="0.2"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</row>
    <row r="696" spans="14:76" x14ac:dyDescent="0.2"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</row>
    <row r="697" spans="14:76" x14ac:dyDescent="0.2"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</row>
    <row r="698" spans="14:76" x14ac:dyDescent="0.2"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</row>
    <row r="699" spans="14:76" x14ac:dyDescent="0.2"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</row>
    <row r="700" spans="14:76" x14ac:dyDescent="0.2"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</row>
    <row r="701" spans="14:76" x14ac:dyDescent="0.2"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</row>
    <row r="702" spans="14:76" x14ac:dyDescent="0.2"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</row>
    <row r="703" spans="14:76" x14ac:dyDescent="0.2"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</row>
    <row r="704" spans="14:76" x14ac:dyDescent="0.2"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</row>
    <row r="705" spans="14:76" x14ac:dyDescent="0.2"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</row>
    <row r="706" spans="14:76" x14ac:dyDescent="0.2"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</row>
    <row r="707" spans="14:76" x14ac:dyDescent="0.2"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</row>
    <row r="708" spans="14:76" x14ac:dyDescent="0.2"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</row>
    <row r="709" spans="14:76" x14ac:dyDescent="0.2"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</row>
    <row r="710" spans="14:76" x14ac:dyDescent="0.2"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</row>
    <row r="711" spans="14:76" x14ac:dyDescent="0.2"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</row>
    <row r="712" spans="14:76" x14ac:dyDescent="0.2"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</row>
    <row r="713" spans="14:76" x14ac:dyDescent="0.2"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</row>
    <row r="714" spans="14:76" x14ac:dyDescent="0.2"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</row>
    <row r="715" spans="14:76" x14ac:dyDescent="0.2"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</row>
    <row r="716" spans="14:76" x14ac:dyDescent="0.2"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</row>
    <row r="717" spans="14:76" x14ac:dyDescent="0.2"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</row>
    <row r="718" spans="14:76" x14ac:dyDescent="0.2"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</row>
    <row r="719" spans="14:76" x14ac:dyDescent="0.2"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</row>
    <row r="720" spans="14:76" x14ac:dyDescent="0.2"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</row>
    <row r="721" spans="14:76" x14ac:dyDescent="0.2"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</row>
    <row r="722" spans="14:76" x14ac:dyDescent="0.2"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</row>
    <row r="723" spans="14:76" x14ac:dyDescent="0.2"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</row>
    <row r="724" spans="14:76" x14ac:dyDescent="0.2"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</row>
    <row r="725" spans="14:76" x14ac:dyDescent="0.2"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</row>
    <row r="726" spans="14:76" x14ac:dyDescent="0.2"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</row>
    <row r="727" spans="14:76" x14ac:dyDescent="0.2"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</row>
    <row r="728" spans="14:76" x14ac:dyDescent="0.2"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</row>
    <row r="729" spans="14:76" x14ac:dyDescent="0.2"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</row>
    <row r="730" spans="14:76" x14ac:dyDescent="0.2"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</row>
    <row r="731" spans="14:76" x14ac:dyDescent="0.2"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</row>
    <row r="732" spans="14:76" x14ac:dyDescent="0.2"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</row>
    <row r="733" spans="14:76" x14ac:dyDescent="0.2"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</row>
    <row r="734" spans="14:76" x14ac:dyDescent="0.2"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</row>
    <row r="735" spans="14:76" x14ac:dyDescent="0.2"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</row>
    <row r="736" spans="14:76" x14ac:dyDescent="0.2"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</row>
    <row r="737" spans="14:76" x14ac:dyDescent="0.2"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</row>
    <row r="738" spans="14:76" x14ac:dyDescent="0.2"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</row>
    <row r="739" spans="14:76" x14ac:dyDescent="0.2"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</row>
    <row r="740" spans="14:76" x14ac:dyDescent="0.2"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</row>
    <row r="741" spans="14:76" x14ac:dyDescent="0.2"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</row>
    <row r="742" spans="14:76" x14ac:dyDescent="0.2"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</row>
    <row r="743" spans="14:76" x14ac:dyDescent="0.2"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</row>
    <row r="744" spans="14:76" x14ac:dyDescent="0.2"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</row>
    <row r="745" spans="14:76" x14ac:dyDescent="0.2"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</row>
    <row r="746" spans="14:76" x14ac:dyDescent="0.2"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</row>
    <row r="747" spans="14:76" x14ac:dyDescent="0.2"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</row>
    <row r="748" spans="14:76" x14ac:dyDescent="0.2"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</row>
    <row r="749" spans="14:76" x14ac:dyDescent="0.2"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</row>
    <row r="750" spans="14:76" x14ac:dyDescent="0.2"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</row>
    <row r="751" spans="14:76" x14ac:dyDescent="0.2"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</row>
    <row r="752" spans="14:76" x14ac:dyDescent="0.2"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</row>
    <row r="753" spans="14:76" x14ac:dyDescent="0.2"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</row>
    <row r="754" spans="14:76" x14ac:dyDescent="0.2"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</row>
    <row r="755" spans="14:76" x14ac:dyDescent="0.2"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</row>
    <row r="756" spans="14:76" x14ac:dyDescent="0.2"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</row>
    <row r="757" spans="14:76" x14ac:dyDescent="0.2"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</row>
    <row r="758" spans="14:76" x14ac:dyDescent="0.2"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</row>
    <row r="759" spans="14:76" x14ac:dyDescent="0.2"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</row>
    <row r="760" spans="14:76" x14ac:dyDescent="0.2"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</row>
    <row r="761" spans="14:76" x14ac:dyDescent="0.2"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</row>
    <row r="762" spans="14:76" x14ac:dyDescent="0.2"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</row>
    <row r="763" spans="14:76" x14ac:dyDescent="0.2"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</row>
    <row r="764" spans="14:76" x14ac:dyDescent="0.2"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</row>
    <row r="765" spans="14:76" x14ac:dyDescent="0.2"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</row>
    <row r="766" spans="14:76" x14ac:dyDescent="0.2"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</row>
    <row r="767" spans="14:76" x14ac:dyDescent="0.2"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</row>
    <row r="768" spans="14:76" x14ac:dyDescent="0.2"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</row>
    <row r="769" spans="14:76" x14ac:dyDescent="0.2"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</row>
    <row r="770" spans="14:76" x14ac:dyDescent="0.2"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</row>
    <row r="771" spans="14:76" x14ac:dyDescent="0.2"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</row>
    <row r="772" spans="14:76" x14ac:dyDescent="0.2"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</row>
    <row r="773" spans="14:76" x14ac:dyDescent="0.2"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</row>
    <row r="774" spans="14:76" x14ac:dyDescent="0.2"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</row>
    <row r="775" spans="14:76" x14ac:dyDescent="0.2"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</row>
    <row r="776" spans="14:76" x14ac:dyDescent="0.2"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</row>
    <row r="777" spans="14:76" x14ac:dyDescent="0.2"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</row>
    <row r="778" spans="14:76" x14ac:dyDescent="0.2"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</row>
    <row r="779" spans="14:76" x14ac:dyDescent="0.2"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</row>
    <row r="780" spans="14:76" x14ac:dyDescent="0.2"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</row>
    <row r="781" spans="14:76" x14ac:dyDescent="0.2"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</row>
    <row r="782" spans="14:76" x14ac:dyDescent="0.2"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</row>
    <row r="783" spans="14:76" x14ac:dyDescent="0.2"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</row>
    <row r="784" spans="14:76" x14ac:dyDescent="0.2"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</row>
    <row r="785" spans="14:76" x14ac:dyDescent="0.2"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</row>
    <row r="786" spans="14:76" x14ac:dyDescent="0.2"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</row>
    <row r="787" spans="14:76" x14ac:dyDescent="0.2"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</row>
    <row r="788" spans="14:76" x14ac:dyDescent="0.2"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</row>
    <row r="789" spans="14:76" x14ac:dyDescent="0.2"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</row>
    <row r="790" spans="14:76" x14ac:dyDescent="0.2"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</row>
    <row r="791" spans="14:76" x14ac:dyDescent="0.2"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</row>
    <row r="792" spans="14:76" x14ac:dyDescent="0.2"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</row>
    <row r="793" spans="14:76" x14ac:dyDescent="0.2"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</row>
    <row r="794" spans="14:76" x14ac:dyDescent="0.2"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</row>
    <row r="795" spans="14:76" x14ac:dyDescent="0.2"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</row>
    <row r="796" spans="14:76" x14ac:dyDescent="0.2"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</row>
    <row r="797" spans="14:76" x14ac:dyDescent="0.2"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</row>
    <row r="798" spans="14:76" x14ac:dyDescent="0.2"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</row>
    <row r="799" spans="14:76" x14ac:dyDescent="0.2"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</row>
    <row r="800" spans="14:76" x14ac:dyDescent="0.2"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</row>
    <row r="801" spans="14:76" x14ac:dyDescent="0.2"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</row>
    <row r="802" spans="14:76" x14ac:dyDescent="0.2"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</row>
    <row r="803" spans="14:76" x14ac:dyDescent="0.2"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</row>
    <row r="804" spans="14:76" x14ac:dyDescent="0.2"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</row>
    <row r="805" spans="14:76" x14ac:dyDescent="0.2"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</row>
    <row r="806" spans="14:76" x14ac:dyDescent="0.2"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</row>
    <row r="807" spans="14:76" x14ac:dyDescent="0.2"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</row>
    <row r="808" spans="14:76" x14ac:dyDescent="0.2"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</row>
    <row r="809" spans="14:76" x14ac:dyDescent="0.2"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</row>
    <row r="810" spans="14:76" x14ac:dyDescent="0.2"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</row>
    <row r="811" spans="14:76" x14ac:dyDescent="0.2"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</row>
    <row r="812" spans="14:76" x14ac:dyDescent="0.2"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</row>
    <row r="813" spans="14:76" x14ac:dyDescent="0.2"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</row>
    <row r="814" spans="14:76" x14ac:dyDescent="0.2"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</row>
    <row r="815" spans="14:76" x14ac:dyDescent="0.2"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</row>
    <row r="816" spans="14:76" x14ac:dyDescent="0.2"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</row>
    <row r="817" spans="14:76" x14ac:dyDescent="0.2"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</row>
  </sheetData>
  <mergeCells count="54">
    <mergeCell ref="A23:A24"/>
    <mergeCell ref="A15:A18"/>
    <mergeCell ref="A19:A22"/>
    <mergeCell ref="A12:A14"/>
    <mergeCell ref="B12:B14"/>
    <mergeCell ref="AB97:AB108"/>
    <mergeCell ref="AO97:AO108"/>
    <mergeCell ref="B101:B112"/>
    <mergeCell ref="C86:D86"/>
    <mergeCell ref="B87:E87"/>
    <mergeCell ref="F87:M87"/>
    <mergeCell ref="B88:B89"/>
    <mergeCell ref="D88:D89"/>
    <mergeCell ref="N97:N108"/>
    <mergeCell ref="AS83:AZ83"/>
    <mergeCell ref="N84:N85"/>
    <mergeCell ref="P84:P85"/>
    <mergeCell ref="AB84:AB85"/>
    <mergeCell ref="AD84:AD85"/>
    <mergeCell ref="AO84:AO85"/>
    <mergeCell ref="AQ84:AQ85"/>
    <mergeCell ref="N83:Q83"/>
    <mergeCell ref="R83:Y83"/>
    <mergeCell ref="AB83:AE83"/>
    <mergeCell ref="AF83:AM83"/>
    <mergeCell ref="AO83:AR83"/>
    <mergeCell ref="O80:P80"/>
    <mergeCell ref="AC80:AD80"/>
    <mergeCell ref="O82:P82"/>
    <mergeCell ref="AC82:AD82"/>
    <mergeCell ref="AP82:AQ82"/>
    <mergeCell ref="B28:B39"/>
    <mergeCell ref="N28:N39"/>
    <mergeCell ref="AB28:AB39"/>
    <mergeCell ref="AO28:AO39"/>
    <mergeCell ref="B79:C79"/>
    <mergeCell ref="D79:E79"/>
    <mergeCell ref="AO12:AO13"/>
    <mergeCell ref="AQ12:AQ13"/>
    <mergeCell ref="C11:D11"/>
    <mergeCell ref="O11:P11"/>
    <mergeCell ref="AC11:AD11"/>
    <mergeCell ref="AP11:AQ11"/>
    <mergeCell ref="D12:D13"/>
    <mergeCell ref="N12:N13"/>
    <mergeCell ref="P12:P13"/>
    <mergeCell ref="AB12:AB13"/>
    <mergeCell ref="AD12:AD13"/>
    <mergeCell ref="A71:A72"/>
    <mergeCell ref="A42:A44"/>
    <mergeCell ref="A28:A39"/>
    <mergeCell ref="A40:A41"/>
    <mergeCell ref="A53:A54"/>
    <mergeCell ref="A58:A59"/>
  </mergeCells>
  <pageMargins left="0.25" right="0.25" top="0.75" bottom="0.75" header="0.3" footer="0.3"/>
  <pageSetup paperSize="9" scale="70" orientation="portrait" horizontalDpi="4294967293" r:id="rId1"/>
  <colBreaks count="1" manualBreakCount="1">
    <brk id="13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цены</vt:lpstr>
    </vt:vector>
  </TitlesOfParts>
  <Company>Nika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Veronika</dc:creator>
  <cp:lastModifiedBy>Юрий</cp:lastModifiedBy>
  <cp:lastPrinted>2013-07-15T13:08:06Z</cp:lastPrinted>
  <dcterms:created xsi:type="dcterms:W3CDTF">2005-11-17T12:28:26Z</dcterms:created>
  <dcterms:modified xsi:type="dcterms:W3CDTF">2014-02-05T21:43:18Z</dcterms:modified>
</cp:coreProperties>
</file>